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120" yWindow="210" windowWidth="15600" windowHeight="7800"/>
  </bookViews>
  <sheets>
    <sheet name="Калькулятор ЭКОНОМИИ" sheetId="6" r:id="rId1"/>
  </sheets>
  <definedNames>
    <definedName name="_xlnm.Print_Area" localSheetId="0">'Калькулятор ЭКОНОМИИ'!$A$1:$M$82</definedName>
  </definedNames>
  <calcPr calcId="145621"/>
</workbook>
</file>

<file path=xl/calcChain.xml><?xml version="1.0" encoding="utf-8"?>
<calcChain xmlns="http://schemas.openxmlformats.org/spreadsheetml/2006/main">
  <c r="I11" i="6" l="1"/>
  <c r="I12" i="6" s="1"/>
  <c r="I25" i="6" l="1"/>
  <c r="I43" i="6" s="1"/>
  <c r="I26" i="6"/>
  <c r="I27" i="6" s="1"/>
  <c r="I15" i="6"/>
  <c r="G64" i="6" s="1"/>
  <c r="I16" i="6"/>
  <c r="H64" i="6" s="1"/>
  <c r="L40" i="6" l="1"/>
  <c r="G66" i="6"/>
  <c r="H66" i="6"/>
  <c r="I41" i="6"/>
  <c r="L25" i="6"/>
  <c r="G65" i="6"/>
  <c r="L11" i="6"/>
  <c r="I14" i="6"/>
  <c r="C53" i="6" l="1"/>
  <c r="C52" i="6"/>
  <c r="C55" i="6" l="1"/>
  <c r="L51" i="6" s="1"/>
  <c r="G59" i="6" l="1"/>
  <c r="G58" i="6"/>
  <c r="G57" i="6"/>
  <c r="G56" i="6"/>
  <c r="G60" i="6"/>
  <c r="G51" i="6"/>
  <c r="G53" i="6"/>
  <c r="G55" i="6"/>
  <c r="G54" i="6"/>
  <c r="G52" i="6"/>
</calcChain>
</file>

<file path=xl/sharedStrings.xml><?xml version="1.0" encoding="utf-8"?>
<sst xmlns="http://schemas.openxmlformats.org/spreadsheetml/2006/main" count="72" uniqueCount="66">
  <si>
    <t>RETURN ON INVESTMENT CALCULATOR</t>
  </si>
  <si>
    <t>Тариф руб за 1 кВт*ч</t>
  </si>
  <si>
    <t>Среднее количество чисток резервуара в год</t>
  </si>
  <si>
    <r>
      <t>РАБОТА НАСОСА БЕЗ ЗАСОРЕНИЙ -</t>
    </r>
    <r>
      <rPr>
        <sz val="12"/>
        <color theme="1" tint="0.499984740745262"/>
        <rFont val="Arial"/>
        <family val="2"/>
      </rPr>
      <t xml:space="preserve"> РАСЧЕТ ЭКОНОМИИ ЗАТРАТ НА ЭКСПЛУАТАЦИЮ НАСОСА</t>
    </r>
  </si>
  <si>
    <t>ЭНЕРГОСБЕРЕЖЕНИЕ кВт*час в год</t>
  </si>
  <si>
    <t>Объем перекачиваемых стоков, м3 в год</t>
  </si>
  <si>
    <t>Результат</t>
  </si>
  <si>
    <t>Исходные данные</t>
  </si>
  <si>
    <t>Среднее время прочистки, ч</t>
  </si>
  <si>
    <t>Количество слесарей для устранения засора</t>
  </si>
  <si>
    <t>Затраты на эксплуатацию грузоподъемной техники, руб в час</t>
  </si>
  <si>
    <t>В случае дополнительного использования грузоподъемной техники:</t>
  </si>
  <si>
    <t>Заработная плата слесаря, руб в месяц</t>
  </si>
  <si>
    <t>Время работы грузоподъемной техники, ч.</t>
  </si>
  <si>
    <t xml:space="preserve">Стоимость одной прочистки, руб </t>
  </si>
  <si>
    <t>Средняя рабочая норма в месяц, ч</t>
  </si>
  <si>
    <t>Затраты на прочистку насоса в год, руб</t>
  </si>
  <si>
    <t>Среднее количество чисток существующего насоса в год</t>
  </si>
  <si>
    <t>Экономия</t>
  </si>
  <si>
    <t>Затраты на эксплуатацию илососа, руб в час</t>
  </si>
  <si>
    <t>Среднее время чистки резервуара, ч.</t>
  </si>
  <si>
    <t xml:space="preserve">Количество задействованных в работе слесарей </t>
  </si>
  <si>
    <t>Стоимость нормочаса работы слесаря, руб</t>
  </si>
  <si>
    <t>Затраты на прочистку КНС вручную, руб в год</t>
  </si>
  <si>
    <t>Затраты на прочистку КНС илососом, руб в год</t>
  </si>
  <si>
    <t>https://experiorlcc.xyleminc.com/</t>
  </si>
  <si>
    <t>Калькулятор для Flygt Experior (насос Flygt N + Smart Run)</t>
  </si>
  <si>
    <t>https://info.xyleminc.com/flygt-concertor-ru-russian.html#savings-calculator</t>
  </si>
  <si>
    <t>Калькулятор для Flygt Concertor</t>
  </si>
  <si>
    <t>Стоимость приобретения оборудования Flygt, руб</t>
  </si>
  <si>
    <t>Экономия затрат на прочистку, руб в год</t>
  </si>
  <si>
    <t>1 год</t>
  </si>
  <si>
    <t>2 год</t>
  </si>
  <si>
    <t>3 год</t>
  </si>
  <si>
    <t>4 год</t>
  </si>
  <si>
    <t>5 год</t>
  </si>
  <si>
    <t>10 год</t>
  </si>
  <si>
    <t>Возврат инвестиций</t>
  </si>
  <si>
    <t>6 год</t>
  </si>
  <si>
    <t>7 год</t>
  </si>
  <si>
    <t>8 год</t>
  </si>
  <si>
    <t>9 год</t>
  </si>
  <si>
    <t>Суммарные затраты</t>
  </si>
  <si>
    <t>СУММАРНАЯ ЭКОНОМИЯ ЗА ГОД, Руб</t>
  </si>
  <si>
    <t>Расчеты и результаты основаны на заданных Вами параметрах и общих предположениях и указывают только предполагаемое энергосбережение при выбранных параметрах. Не дается гарантия того, что рассчитанная экономия действительно будет иметь место.</t>
  </si>
  <si>
    <t>Старый насос</t>
  </si>
  <si>
    <t>Новый насос Flygt N</t>
  </si>
  <si>
    <t>Электроэнергия</t>
  </si>
  <si>
    <t>Чистка резервуара</t>
  </si>
  <si>
    <t>Прочистка насосов</t>
  </si>
  <si>
    <t>Будет ли реализована функция прочистки резервуара</t>
  </si>
  <si>
    <r>
      <t xml:space="preserve">СНИЖЕНИЕ ЭНЕРГОПОТРЕБЛЕНИЯ - </t>
    </r>
    <r>
      <rPr>
        <sz val="12"/>
        <color theme="1" tint="0.499984740745262"/>
        <rFont val="Arial"/>
        <family val="2"/>
        <charset val="204"/>
      </rPr>
      <t>РАСЧЕТ ЭКОНОМИИ ЭЛЕКТРОЭНЕРГИИ</t>
    </r>
  </si>
  <si>
    <r>
      <t>ОСУТСТВИЕ ОСАЖДЕНИЙ И ПЛАВАЮЩЕГО МУСОРА В ПРИЕМНОМ РЕЗЕРВУАРЕ -</t>
    </r>
    <r>
      <rPr>
        <sz val="12"/>
        <color theme="1" tint="0.499984740745262"/>
        <rFont val="Arial"/>
        <family val="2"/>
      </rPr>
      <t xml:space="preserve"> РАСЧЕТ ЭКОНОМИИ ЗАТРАТ ОБСЛУЖИВАНИЕ КНС </t>
    </r>
  </si>
  <si>
    <t>Сопротивление сети (напор после насоса), м</t>
  </si>
  <si>
    <t>Удельное энергопотребление насоса Flygt, кВт*ч/м3</t>
  </si>
  <si>
    <t>Затраты на электроэнергию для старого насоса, руб. в год</t>
  </si>
  <si>
    <t>Затраты на электроэнергию для насоса Flygt, руб. в год</t>
  </si>
  <si>
    <t>Количество насосов в работе</t>
  </si>
  <si>
    <t>Существующее энергопотребление насосами на КНС, кВт*ч в год</t>
  </si>
  <si>
    <t>Фактическое энергопотребление насами Flygt, кВт*ч в год</t>
  </si>
  <si>
    <t>Срок окупаемости</t>
  </si>
  <si>
    <t>Экономия затрат на электроэнергию, руб в год</t>
  </si>
  <si>
    <t>КАЛЬКУЛЯТОР ЭКОНОМИИ ЗАТРАТ НА ЭКСПЛУАТАЦИЮ КНС</t>
  </si>
  <si>
    <t>Экономию с учетом функции минимизации электроэнергии Flygt Experior или Flygt Concertor можно расчитать используя следующие инструменты:</t>
  </si>
  <si>
    <t>Полный КПД насоса Flygt в точке с требуемым напором, %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</si>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</sst>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"/>
    <numFmt numFmtId="167" formatCode="_-[$€-2]\ * #,##0_-;\-[$€-2]\ * #,##0_-;_-[$€-2]\ * &quot;-&quot;??_-;_-@_-"/>
    <numFmt numFmtId="168" formatCode="#,##0_ ;\-#,##0\ "/>
    <numFmt numFmtId="169" formatCode="#,##0_ ;[Red]\-#,##0\ "/>
    <numFmt numFmtId="170" formatCode="#,##0.0000"/>
    <numFmt numFmtId="171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0" tint="-0.34998626667073579"/>
      <name val="Arial"/>
      <family val="2"/>
    </font>
    <font>
      <b/>
      <sz val="14"/>
      <color theme="1" tint="0.499984740745262"/>
      <name val="Arial"/>
      <family val="2"/>
    </font>
    <font>
      <sz val="12"/>
      <color theme="1" tint="0.499984740745262"/>
      <name val="Arial"/>
      <family val="2"/>
    </font>
    <font>
      <b/>
      <sz val="22"/>
      <color theme="4"/>
      <name val="Arial"/>
      <family val="2"/>
    </font>
    <font>
      <sz val="11"/>
      <color theme="0" tint="-0.499984740745262"/>
      <name val="Calibri"/>
      <family val="2"/>
      <scheme val="minor"/>
    </font>
    <font>
      <b/>
      <sz val="48"/>
      <color theme="4"/>
      <name val="Calibri"/>
      <family val="2"/>
      <scheme val="minor"/>
    </font>
    <font>
      <b/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 tint="0.499984740745262"/>
      <name val="Arial"/>
      <family val="2"/>
      <charset val="204"/>
    </font>
    <font>
      <b/>
      <sz val="14"/>
      <color theme="0"/>
      <name val="Arial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3" borderId="0" xfId="0" applyFill="1"/>
    <xf numFmtId="0" fontId="2" fillId="5" borderId="0" xfId="0" applyFont="1" applyFill="1" applyAlignment="1">
      <alignment vertical="center"/>
    </xf>
    <xf numFmtId="0" fontId="0" fillId="5" borderId="0" xfId="0" applyFill="1" applyBorder="1"/>
    <xf numFmtId="0" fontId="0" fillId="5" borderId="0" xfId="0" applyFill="1"/>
    <xf numFmtId="0" fontId="4" fillId="5" borderId="0" xfId="0" applyFont="1" applyFill="1" applyBorder="1"/>
    <xf numFmtId="0" fontId="7" fillId="0" borderId="0" xfId="0" applyFont="1" applyFill="1" applyBorder="1"/>
    <xf numFmtId="0" fontId="7" fillId="0" borderId="0" xfId="0" applyFont="1"/>
    <xf numFmtId="0" fontId="6" fillId="2" borderId="0" xfId="0" applyFont="1" applyFill="1" applyAlignment="1">
      <alignment vertical="center"/>
    </xf>
    <xf numFmtId="0" fontId="8" fillId="0" borderId="0" xfId="0" applyFont="1"/>
    <xf numFmtId="0" fontId="8" fillId="2" borderId="0" xfId="0" applyFont="1" applyFill="1"/>
    <xf numFmtId="0" fontId="8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8" fillId="5" borderId="0" xfId="0" applyFont="1" applyFill="1" applyBorder="1"/>
    <xf numFmtId="0" fontId="4" fillId="2" borderId="0" xfId="0" applyFont="1" applyFill="1" applyBorder="1"/>
    <xf numFmtId="0" fontId="8" fillId="2" borderId="0" xfId="0" applyFont="1" applyFill="1" applyBorder="1" applyAlignment="1">
      <alignment horizontal="center"/>
    </xf>
    <xf numFmtId="9" fontId="8" fillId="2" borderId="0" xfId="2" applyFont="1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Alignment="1">
      <alignment vertical="center"/>
    </xf>
    <xf numFmtId="0" fontId="6" fillId="5" borderId="0" xfId="0" applyFont="1" applyFill="1" applyBorder="1" applyAlignment="1">
      <alignment vertical="center"/>
    </xf>
    <xf numFmtId="0" fontId="8" fillId="5" borderId="0" xfId="0" applyFont="1" applyFill="1"/>
    <xf numFmtId="0" fontId="6" fillId="5" borderId="0" xfId="0" applyFont="1" applyFill="1" applyAlignment="1">
      <alignment vertical="center"/>
    </xf>
    <xf numFmtId="0" fontId="8" fillId="5" borderId="0" xfId="0" applyFont="1" applyFill="1" applyBorder="1" applyAlignment="1"/>
    <xf numFmtId="9" fontId="8" fillId="5" borderId="0" xfId="2" applyFont="1" applyFill="1" applyBorder="1" applyAlignment="1"/>
    <xf numFmtId="167" fontId="8" fillId="5" borderId="0" xfId="3" applyNumberFormat="1" applyFont="1" applyFill="1" applyBorder="1" applyAlignment="1"/>
    <xf numFmtId="0" fontId="11" fillId="2" borderId="0" xfId="0" applyFont="1" applyFill="1"/>
    <xf numFmtId="0" fontId="11" fillId="5" borderId="0" xfId="0" applyFont="1" applyFill="1"/>
    <xf numFmtId="0" fontId="14" fillId="5" borderId="0" xfId="0" applyFont="1" applyFill="1" applyAlignment="1">
      <alignment horizontal="center"/>
    </xf>
    <xf numFmtId="167" fontId="11" fillId="5" borderId="0" xfId="0" applyNumberFormat="1" applyFont="1" applyFill="1" applyBorder="1"/>
    <xf numFmtId="167" fontId="12" fillId="5" borderId="0" xfId="0" applyNumberFormat="1" applyFont="1" applyFill="1" applyBorder="1"/>
    <xf numFmtId="167" fontId="0" fillId="5" borderId="0" xfId="0" applyNumberFormat="1" applyFill="1" applyBorder="1"/>
    <xf numFmtId="167" fontId="13" fillId="5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7" fontId="4" fillId="5" borderId="0" xfId="0" applyNumberFormat="1" applyFont="1" applyFill="1" applyBorder="1"/>
    <xf numFmtId="0" fontId="11" fillId="5" borderId="0" xfId="0" applyFont="1" applyFill="1" applyBorder="1"/>
    <xf numFmtId="167" fontId="4" fillId="2" borderId="0" xfId="0" applyNumberFormat="1" applyFont="1" applyFill="1" applyBorder="1"/>
    <xf numFmtId="0" fontId="8" fillId="5" borderId="0" xfId="0" applyFont="1" applyFill="1" applyBorder="1" applyAlignment="1">
      <alignment horizontal="left" indent="1"/>
    </xf>
    <xf numFmtId="0" fontId="10" fillId="5" borderId="0" xfId="0" applyFont="1" applyFill="1" applyBorder="1" applyAlignment="1">
      <alignment horizontal="left" indent="1"/>
    </xf>
    <xf numFmtId="0" fontId="9" fillId="5" borderId="0" xfId="0" applyFont="1" applyFill="1" applyBorder="1" applyAlignment="1">
      <alignment horizontal="left" indent="1"/>
    </xf>
    <xf numFmtId="0" fontId="6" fillId="5" borderId="0" xfId="0" applyFont="1" applyFill="1" applyBorder="1"/>
    <xf numFmtId="3" fontId="4" fillId="5" borderId="0" xfId="1" applyNumberFormat="1" applyFont="1" applyFill="1" applyBorder="1" applyAlignment="1"/>
    <xf numFmtId="3" fontId="4" fillId="5" borderId="0" xfId="2" applyNumberFormat="1" applyFont="1" applyFill="1" applyBorder="1" applyAlignment="1"/>
    <xf numFmtId="3" fontId="4" fillId="5" borderId="0" xfId="0" applyNumberFormat="1" applyFont="1" applyFill="1" applyBorder="1" applyAlignment="1"/>
    <xf numFmtId="3" fontId="8" fillId="5" borderId="0" xfId="3" applyNumberFormat="1" applyFont="1" applyFill="1" applyBorder="1" applyAlignment="1"/>
    <xf numFmtId="3" fontId="8" fillId="5" borderId="0" xfId="0" applyNumberFormat="1" applyFont="1" applyFill="1" applyBorder="1" applyAlignment="1"/>
    <xf numFmtId="3" fontId="10" fillId="5" borderId="0" xfId="0" applyNumberFormat="1" applyFont="1" applyFill="1" applyBorder="1"/>
    <xf numFmtId="3" fontId="0" fillId="5" borderId="0" xfId="0" applyNumberFormat="1" applyFill="1"/>
    <xf numFmtId="3" fontId="9" fillId="5" borderId="0" xfId="0" applyNumberFormat="1" applyFont="1" applyFill="1" applyBorder="1"/>
    <xf numFmtId="3" fontId="4" fillId="5" borderId="0" xfId="0" applyNumberFormat="1" applyFont="1" applyFill="1" applyBorder="1"/>
    <xf numFmtId="0" fontId="0" fillId="2" borderId="0" xfId="0" applyFill="1" applyBorder="1"/>
    <xf numFmtId="167" fontId="0" fillId="2" borderId="0" xfId="0" applyNumberFormat="1" applyFill="1"/>
    <xf numFmtId="0" fontId="5" fillId="3" borderId="0" xfId="0" applyFont="1" applyFill="1" applyAlignment="1">
      <alignment horizontal="right" vertical="center"/>
    </xf>
    <xf numFmtId="169" fontId="4" fillId="2" borderId="0" xfId="0" applyNumberFormat="1" applyFont="1" applyFill="1" applyBorder="1" applyAlignment="1">
      <alignment horizontal="right" vertical="center"/>
    </xf>
    <xf numFmtId="169" fontId="8" fillId="2" borderId="0" xfId="0" applyNumberFormat="1" applyFont="1" applyFill="1" applyBorder="1" applyAlignment="1">
      <alignment vertical="center"/>
    </xf>
    <xf numFmtId="0" fontId="4" fillId="5" borderId="0" xfId="0" applyFont="1" applyFill="1"/>
    <xf numFmtId="169" fontId="4" fillId="5" borderId="0" xfId="0" applyNumberFormat="1" applyFont="1" applyFill="1" applyAlignment="1">
      <alignment horizontal="right" vertical="center"/>
    </xf>
    <xf numFmtId="169" fontId="4" fillId="5" borderId="0" xfId="0" applyNumberFormat="1" applyFont="1" applyFill="1" applyBorder="1" applyAlignment="1">
      <alignment vertical="center"/>
    </xf>
    <xf numFmtId="169" fontId="4" fillId="5" borderId="0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indent="1"/>
    </xf>
    <xf numFmtId="0" fontId="1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5" fillId="5" borderId="0" xfId="0" applyFont="1" applyFill="1" applyAlignment="1">
      <alignment vertical="center"/>
    </xf>
    <xf numFmtId="0" fontId="0" fillId="0" borderId="0" xfId="0" applyFill="1"/>
    <xf numFmtId="0" fontId="23" fillId="2" borderId="0" xfId="0" applyFont="1" applyFill="1" applyAlignment="1">
      <alignment horizontal="right"/>
    </xf>
    <xf numFmtId="0" fontId="23" fillId="6" borderId="0" xfId="0" applyFont="1" applyFill="1" applyAlignment="1">
      <alignment horizontal="right"/>
    </xf>
    <xf numFmtId="170" fontId="4" fillId="5" borderId="0" xfId="1" applyNumberFormat="1" applyFont="1" applyFill="1" applyBorder="1" applyAlignment="1"/>
    <xf numFmtId="0" fontId="27" fillId="4" borderId="0" xfId="0" applyFont="1" applyFill="1" applyAlignment="1">
      <alignment horizontal="left" vertical="center"/>
    </xf>
    <xf numFmtId="0" fontId="28" fillId="4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4" borderId="0" xfId="0" applyFont="1" applyFill="1" applyAlignment="1">
      <alignment horizontal="left" vertical="center"/>
    </xf>
    <xf numFmtId="0" fontId="24" fillId="2" borderId="0" xfId="4" applyFont="1" applyFill="1" applyAlignment="1"/>
    <xf numFmtId="0" fontId="23" fillId="6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/>
    </xf>
    <xf numFmtId="166" fontId="20" fillId="5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/>
    </xf>
    <xf numFmtId="168" fontId="18" fillId="5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21" fillId="5" borderId="0" xfId="0" applyFont="1" applyFill="1" applyBorder="1" applyAlignment="1">
      <alignment horizontal="left" vertical="center"/>
    </xf>
    <xf numFmtId="0" fontId="24" fillId="6" borderId="0" xfId="4" applyFont="1" applyFill="1" applyAlignment="1">
      <alignment horizontal="left"/>
    </xf>
    <xf numFmtId="0" fontId="19" fillId="2" borderId="0" xfId="0" applyFont="1" applyFill="1" applyAlignment="1">
      <alignment horizontal="left" wrapText="1" indent="9"/>
    </xf>
    <xf numFmtId="166" fontId="14" fillId="2" borderId="0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17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Protection="1">
      <protection locked="0"/>
    </xf>
  </cellXfs>
  <cellStyles count="5">
    <cellStyle name="Гиперссылка" xfId="4" builtinId="8"/>
    <cellStyle name="Денежный" xfId="3" builtinId="4"/>
    <cellStyle name="Обычный" xfId="0" builtinId="0"/>
    <cellStyle name="Процентный" xfId="2" builtinId="5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E3F9EA"/>
      <color rgb="FFBCF2CE"/>
      <color rgb="FF9EECB8"/>
      <color rgb="FF7EF2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baseline="0"/>
              <a:t>График окупаемости инвестиций </a:t>
            </a:r>
            <a:endParaRPr lang="de-DE"/>
          </a:p>
        </c:rich>
      </c:tx>
      <c:layout>
        <c:manualLayout>
          <c:xMode val="edge"/>
          <c:yMode val="edge"/>
          <c:x val="0.19096604486735264"/>
          <c:y val="2.09598050505091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537901660337904"/>
          <c:y val="0.12378280215454567"/>
          <c:w val="0.81458408705655672"/>
          <c:h val="0.756607169148917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1"/>
          <c:cat>
            <c:strRef>
              <c:f>'Калькулятор ЭКОНОМИИ'!$F$51:$F$60</c:f>
              <c:strCache>
                <c:ptCount val="10"/>
                <c:pt idx="0">
                  <c:v>1 год</c:v>
                </c:pt>
                <c:pt idx="1">
                  <c:v>2 год</c:v>
                </c:pt>
                <c:pt idx="2">
                  <c:v>3 год</c:v>
                </c:pt>
                <c:pt idx="3">
                  <c:v>4 год</c:v>
                </c:pt>
                <c:pt idx="4">
                  <c:v>5 год</c:v>
                </c:pt>
                <c:pt idx="5">
                  <c:v>6 год</c:v>
                </c:pt>
                <c:pt idx="6">
                  <c:v>7 год</c:v>
                </c:pt>
                <c:pt idx="7">
                  <c:v>8 год</c:v>
                </c:pt>
                <c:pt idx="8">
                  <c:v>9 год</c:v>
                </c:pt>
                <c:pt idx="9">
                  <c:v>10 год</c:v>
                </c:pt>
              </c:strCache>
            </c:strRef>
          </c:cat>
          <c:val>
            <c:numRef>
              <c:f>'Калькулятор ЭКОНОМИИ'!$G$51:$G$60</c:f>
              <c:numCache>
                <c:formatCode>#,##0</c:formatCode>
                <c:ptCount val="10"/>
                <c:pt idx="0">
                  <c:v>-1849199.1765625</c:v>
                </c:pt>
                <c:pt idx="1">
                  <c:v>-1198398.3531249999</c:v>
                </c:pt>
                <c:pt idx="2">
                  <c:v>-547597.52968749986</c:v>
                </c:pt>
                <c:pt idx="3">
                  <c:v>103203.29375000014</c:v>
                </c:pt>
                <c:pt idx="4">
                  <c:v>754004.11718750023</c:v>
                </c:pt>
                <c:pt idx="5">
                  <c:v>1404804.9406250003</c:v>
                </c:pt>
                <c:pt idx="6">
                  <c:v>2055605.7640625003</c:v>
                </c:pt>
                <c:pt idx="7">
                  <c:v>2706406.5874999999</c:v>
                </c:pt>
                <c:pt idx="8">
                  <c:v>3357207.4109375002</c:v>
                </c:pt>
                <c:pt idx="9">
                  <c:v>4008008.234375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1117312"/>
        <c:axId val="161875072"/>
      </c:barChart>
      <c:catAx>
        <c:axId val="10111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61875072"/>
        <c:crosses val="autoZero"/>
        <c:auto val="1"/>
        <c:lblAlgn val="ctr"/>
        <c:lblOffset val="100"/>
        <c:noMultiLvlLbl val="0"/>
      </c:catAx>
      <c:valAx>
        <c:axId val="1618750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111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Стоимость обслуживания за 10 лет</a:t>
            </a:r>
            <a:endParaRPr lang="de-DE"/>
          </a:p>
        </c:rich>
      </c:tx>
      <c:layout>
        <c:manualLayout>
          <c:xMode val="edge"/>
          <c:yMode val="edge"/>
          <c:x val="0.13628931370347105"/>
          <c:y val="2.5937945580497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014129998456076"/>
          <c:y val="0.18565981335666376"/>
          <c:w val="0.59276240726648766"/>
          <c:h val="0.65888058853684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'Калькулятор ЭКОНОМИИ'!$F$64</c:f>
              <c:strCache>
                <c:ptCount val="1"/>
                <c:pt idx="0">
                  <c:v>Электроэнергия</c:v>
                </c:pt>
              </c:strCache>
            </c:strRef>
          </c:tx>
          <c:invertIfNegative val="0"/>
          <c:cat>
            <c:strRef>
              <c:f>'Калькулятор ЭКОНОМИИ'!$G$63:$H$63</c:f>
              <c:strCache>
                <c:ptCount val="2"/>
                <c:pt idx="0">
                  <c:v>Старый насос</c:v>
                </c:pt>
                <c:pt idx="1">
                  <c:v>Новый насос Flygt N</c:v>
                </c:pt>
              </c:strCache>
            </c:strRef>
          </c:cat>
          <c:val>
            <c:numRef>
              <c:f>'Калькулятор ЭКОНОМИИ'!$G$64:$H$64</c:f>
              <c:numCache>
                <c:formatCode>#,##0_ ;[Red]\-#,##0\ </c:formatCode>
                <c:ptCount val="2"/>
                <c:pt idx="0">
                  <c:v>3750300</c:v>
                </c:pt>
                <c:pt idx="1">
                  <c:v>2559791.765625</c:v>
                </c:pt>
              </c:numCache>
            </c:numRef>
          </c:val>
        </c:ser>
        <c:ser>
          <c:idx val="1"/>
          <c:order val="1"/>
          <c:tx>
            <c:strRef>
              <c:f>'Калькулятор ЭКОНОМИИ'!$F$65</c:f>
              <c:strCache>
                <c:ptCount val="1"/>
                <c:pt idx="0">
                  <c:v>Прочистка насосов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'Калькулятор ЭКОНОМИИ'!$G$63:$H$63</c:f>
              <c:strCache>
                <c:ptCount val="2"/>
                <c:pt idx="0">
                  <c:v>Старый насос</c:v>
                </c:pt>
                <c:pt idx="1">
                  <c:v>Новый насос Flygt N</c:v>
                </c:pt>
              </c:strCache>
            </c:strRef>
          </c:cat>
          <c:val>
            <c:numRef>
              <c:f>'Калькулятор ЭКОНОМИИ'!$G$65:$H$65</c:f>
              <c:numCache>
                <c:formatCode>#,##0_ ;[Red]\-#,##0\ </c:formatCode>
                <c:ptCount val="2"/>
                <c:pt idx="0">
                  <c:v>4687500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'Калькулятор ЭКОНОМИИ'!$F$66</c:f>
              <c:strCache>
                <c:ptCount val="1"/>
                <c:pt idx="0">
                  <c:v>Чистка резервуара</c:v>
                </c:pt>
              </c:strCache>
            </c:strRef>
          </c:tx>
          <c:invertIfNegative val="0"/>
          <c:cat>
            <c:strRef>
              <c:f>'Калькулятор ЭКОНОМИИ'!$G$63:$H$63</c:f>
              <c:strCache>
                <c:ptCount val="2"/>
                <c:pt idx="0">
                  <c:v>Старый насос</c:v>
                </c:pt>
                <c:pt idx="1">
                  <c:v>Новый насос Flygt N</c:v>
                </c:pt>
              </c:strCache>
            </c:strRef>
          </c:cat>
          <c:val>
            <c:numRef>
              <c:f>'Калькулятор ЭКОНОМИИ'!$G$66:$H$66</c:f>
              <c:numCache>
                <c:formatCode>#,##0_ ;[Red]\-#,##0\ </c:formatCode>
                <c:ptCount val="2"/>
                <c:pt idx="0">
                  <c:v>630000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1909376"/>
        <c:axId val="161923456"/>
      </c:barChart>
      <c:catAx>
        <c:axId val="16190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1923456"/>
        <c:crosses val="autoZero"/>
        <c:auto val="1"/>
        <c:lblAlgn val="ctr"/>
        <c:lblOffset val="100"/>
        <c:noMultiLvlLbl val="0"/>
      </c:catAx>
      <c:valAx>
        <c:axId val="161923456"/>
        <c:scaling>
          <c:orientation val="minMax"/>
        </c:scaling>
        <c:delete val="0"/>
        <c:axPos val="l"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1909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681593418283189"/>
          <c:y val="0.19403126375921356"/>
          <c:w val="0.33808602582536168"/>
          <c:h val="0.19560705579535956"/>
        </c:manualLayout>
      </c:layout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1477</xdr:colOff>
      <xdr:row>61</xdr:row>
      <xdr:rowOff>118803</xdr:rowOff>
    </xdr:from>
    <xdr:to>
      <xdr:col>3</xdr:col>
      <xdr:colOff>371929</xdr:colOff>
      <xdr:row>80</xdr:row>
      <xdr:rowOff>18143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174625</xdr:colOff>
      <xdr:row>1</xdr:row>
      <xdr:rowOff>25931</xdr:rowOff>
    </xdr:from>
    <xdr:to>
      <xdr:col>1</xdr:col>
      <xdr:colOff>698500</xdr:colOff>
      <xdr:row>4</xdr:row>
      <xdr:rowOff>190049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216431"/>
          <a:ext cx="1441739" cy="735618"/>
        </a:xfrm>
        <a:prstGeom prst="rect">
          <a:avLst/>
        </a:prstGeom>
      </xdr:spPr>
    </xdr:pic>
    <xdr:clientData/>
  </xdr:twoCellAnchor>
  <xdr:twoCellAnchor>
    <xdr:from>
      <xdr:col>4</xdr:col>
      <xdr:colOff>146540</xdr:colOff>
      <xdr:row>61</xdr:row>
      <xdr:rowOff>118120</xdr:rowOff>
    </xdr:from>
    <xdr:to>
      <xdr:col>10</xdr:col>
      <xdr:colOff>34637</xdr:colOff>
      <xdr:row>80</xdr:row>
      <xdr:rowOff>7674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fo.xyleminc.com/flygt-concertor-ru-russian.html" TargetMode="External"/><Relationship Id="rId1" Type="http://schemas.openxmlformats.org/officeDocument/2006/relationships/hyperlink" Target="https://experiorlcc.xyleminc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B112"/>
  <sheetViews>
    <sheetView tabSelected="1" zoomScale="70" zoomScaleNormal="70" workbookViewId="0">
      <selection activeCell="C51" sqref="C51"/>
    </sheetView>
  </sheetViews>
  <sheetFormatPr defaultColWidth="9.140625" defaultRowHeight="15" x14ac:dyDescent="0.25"/>
  <cols>
    <col min="1" max="1" width="13.7109375" customWidth="1"/>
    <col min="2" max="2" width="63.85546875" customWidth="1"/>
    <col min="3" max="3" width="15.42578125" customWidth="1"/>
    <col min="4" max="4" width="5.5703125" customWidth="1"/>
    <col min="5" max="5" width="2.140625" customWidth="1"/>
    <col min="6" max="6" width="11.85546875" customWidth="1"/>
    <col min="7" max="7" width="15.7109375" customWidth="1"/>
    <col min="8" max="8" width="25.85546875" customWidth="1"/>
    <col min="9" max="9" width="11.28515625" customWidth="1"/>
    <col min="10" max="10" width="1.5703125" customWidth="1"/>
    <col min="11" max="11" width="2.140625" customWidth="1"/>
    <col min="12" max="13" width="13.42578125" customWidth="1"/>
    <col min="28" max="28" width="0" hidden="1" customWidth="1"/>
  </cols>
  <sheetData>
    <row r="1" spans="1:2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8" ht="15.9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8" ht="27.6" customHeight="1" x14ac:dyDescent="0.25">
      <c r="A6" s="74" t="s">
        <v>62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28" ht="18.9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28" s="9" customFormat="1" ht="21.75" customHeight="1" x14ac:dyDescent="0.25">
      <c r="A8" s="77" t="s">
        <v>51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8"/>
    </row>
    <row r="9" spans="1:28" ht="18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"/>
      <c r="AB9">
        <v>5</v>
      </c>
    </row>
    <row r="10" spans="1:28" ht="20.100000000000001" customHeight="1" x14ac:dyDescent="0.25">
      <c r="A10" s="2"/>
      <c r="B10" s="80" t="s">
        <v>7</v>
      </c>
      <c r="C10" s="80"/>
      <c r="D10" s="19"/>
      <c r="E10" s="16"/>
      <c r="F10" s="19"/>
      <c r="G10" s="20"/>
      <c r="H10" s="20"/>
      <c r="I10" s="53" t="s">
        <v>6</v>
      </c>
      <c r="J10" s="3"/>
      <c r="K10" s="2"/>
      <c r="L10" s="81" t="s">
        <v>18</v>
      </c>
      <c r="M10" s="81"/>
      <c r="AB10">
        <v>7</v>
      </c>
    </row>
    <row r="11" spans="1:28" ht="18" customHeight="1" x14ac:dyDescent="0.25">
      <c r="A11" s="2"/>
      <c r="B11" s="7" t="s">
        <v>58</v>
      </c>
      <c r="C11" s="86">
        <v>75006</v>
      </c>
      <c r="D11" s="7"/>
      <c r="E11" s="16"/>
      <c r="F11" s="7" t="s">
        <v>54</v>
      </c>
      <c r="G11" s="7"/>
      <c r="H11" s="7"/>
      <c r="I11" s="67">
        <f>C14*1000*9.81/(C15*36000)</f>
        <v>5.109375E-2</v>
      </c>
      <c r="J11" s="6"/>
      <c r="K11" s="2"/>
      <c r="L11" s="79">
        <f>I15-I16</f>
        <v>119050.82343749999</v>
      </c>
      <c r="M11" s="79"/>
      <c r="AB11">
        <v>8</v>
      </c>
    </row>
    <row r="12" spans="1:28" ht="18" customHeight="1" x14ac:dyDescent="0.25">
      <c r="A12" s="2"/>
      <c r="B12" s="7" t="s">
        <v>5</v>
      </c>
      <c r="C12" s="86">
        <v>500999</v>
      </c>
      <c r="D12" s="7"/>
      <c r="E12" s="16"/>
      <c r="F12" s="7" t="s">
        <v>59</v>
      </c>
      <c r="G12" s="7"/>
      <c r="H12" s="7"/>
      <c r="I12" s="42">
        <f>I11*C12*C13</f>
        <v>51195.835312499999</v>
      </c>
      <c r="J12" s="6"/>
      <c r="K12" s="2"/>
      <c r="L12" s="79"/>
      <c r="M12" s="79"/>
      <c r="AB12">
        <v>9</v>
      </c>
    </row>
    <row r="13" spans="1:28" ht="18" customHeight="1" x14ac:dyDescent="0.25">
      <c r="A13" s="2"/>
      <c r="B13" s="7" t="s">
        <v>57</v>
      </c>
      <c r="C13" s="86">
        <v>2</v>
      </c>
      <c r="D13" s="7"/>
      <c r="E13" s="16"/>
      <c r="F13" s="7"/>
      <c r="G13" s="7"/>
      <c r="H13" s="7"/>
      <c r="I13" s="42"/>
      <c r="J13" s="6"/>
      <c r="K13" s="2"/>
      <c r="L13" s="79"/>
      <c r="M13" s="79"/>
    </row>
    <row r="14" spans="1:28" ht="17.45" customHeight="1" x14ac:dyDescent="0.25">
      <c r="A14" s="2"/>
      <c r="B14" s="7" t="s">
        <v>53</v>
      </c>
      <c r="C14" s="86">
        <v>15</v>
      </c>
      <c r="D14" s="7"/>
      <c r="E14" s="16"/>
      <c r="F14" s="7" t="s">
        <v>4</v>
      </c>
      <c r="G14" s="7"/>
      <c r="H14" s="7"/>
      <c r="I14" s="42">
        <f>C11-I12</f>
        <v>23810.164687500001</v>
      </c>
      <c r="J14" s="6"/>
      <c r="K14" s="2"/>
      <c r="L14" s="79"/>
      <c r="M14" s="79"/>
    </row>
    <row r="15" spans="1:28" ht="18" customHeight="1" x14ac:dyDescent="0.25">
      <c r="A15" s="2"/>
      <c r="B15" s="7" t="s">
        <v>64</v>
      </c>
      <c r="C15" s="86">
        <v>80</v>
      </c>
      <c r="D15" s="7"/>
      <c r="E15" s="16"/>
      <c r="F15" s="7" t="s">
        <v>55</v>
      </c>
      <c r="G15" s="7"/>
      <c r="H15" s="7"/>
      <c r="I15" s="43">
        <f>C11*C16</f>
        <v>375030</v>
      </c>
      <c r="J15" s="6"/>
      <c r="K15" s="2"/>
      <c r="L15" s="79"/>
      <c r="M15" s="79"/>
      <c r="AB15">
        <v>10</v>
      </c>
    </row>
    <row r="16" spans="1:28" ht="18" customHeight="1" x14ac:dyDescent="0.25">
      <c r="A16" s="2"/>
      <c r="B16" s="7" t="s">
        <v>1</v>
      </c>
      <c r="C16" s="87">
        <v>5</v>
      </c>
      <c r="D16" s="7"/>
      <c r="E16" s="16"/>
      <c r="F16" s="7" t="s">
        <v>56</v>
      </c>
      <c r="G16" s="7"/>
      <c r="H16" s="7"/>
      <c r="I16" s="44">
        <f>(I12*$C$16)</f>
        <v>255979.17656250001</v>
      </c>
      <c r="J16" s="6"/>
      <c r="K16" s="2"/>
      <c r="L16" s="79"/>
      <c r="M16" s="79"/>
      <c r="AB16">
        <v>11</v>
      </c>
    </row>
    <row r="17" spans="1:28" ht="18" customHeight="1" x14ac:dyDescent="0.25">
      <c r="A17" s="2"/>
      <c r="B17" s="6"/>
      <c r="C17" s="6"/>
      <c r="D17" s="6"/>
      <c r="E17" s="2"/>
      <c r="F17" s="6"/>
      <c r="G17" s="6"/>
      <c r="H17" s="6"/>
      <c r="I17" s="4"/>
      <c r="J17" s="4"/>
      <c r="K17" s="1"/>
      <c r="L17" s="79"/>
      <c r="M17" s="79"/>
      <c r="AB17">
        <v>14</v>
      </c>
    </row>
    <row r="18" spans="1:28" ht="18.600000000000001" customHeight="1" x14ac:dyDescent="0.25">
      <c r="A18" s="2"/>
      <c r="B18" s="73" t="s">
        <v>63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AB18">
        <v>15</v>
      </c>
    </row>
    <row r="19" spans="1:28" ht="18.600000000000001" customHeight="1" x14ac:dyDescent="0.25">
      <c r="A19" s="2"/>
      <c r="B19" s="66" t="s">
        <v>28</v>
      </c>
      <c r="C19" s="83" t="s">
        <v>27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pans="1:28" ht="18.600000000000001" customHeight="1" x14ac:dyDescent="0.25">
      <c r="A20" s="2"/>
      <c r="B20" s="66" t="s">
        <v>26</v>
      </c>
      <c r="C20" s="83" t="s">
        <v>25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pans="1:28" s="64" customFormat="1" x14ac:dyDescent="0.25">
      <c r="A21" s="2"/>
      <c r="B21" s="65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28" s="11" customFormat="1" ht="21" customHeight="1" x14ac:dyDescent="0.25">
      <c r="A22" s="77" t="s">
        <v>3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AB22" s="11">
        <v>17</v>
      </c>
    </row>
    <row r="23" spans="1:28" s="11" customFormat="1" ht="15.75" x14ac:dyDescent="0.2">
      <c r="A23" s="13"/>
      <c r="B23" s="13"/>
      <c r="C23" s="13"/>
      <c r="D23" s="13"/>
      <c r="E23" s="13"/>
      <c r="F23" s="14"/>
      <c r="G23" s="13"/>
      <c r="H23" s="13"/>
      <c r="I23" s="14"/>
      <c r="J23" s="14"/>
      <c r="K23" s="14"/>
      <c r="L23" s="14"/>
      <c r="M23" s="14"/>
      <c r="AB23" s="11">
        <v>18</v>
      </c>
    </row>
    <row r="24" spans="1:28" s="11" customFormat="1" ht="18" x14ac:dyDescent="0.25">
      <c r="A24" s="13"/>
      <c r="B24" s="80" t="s">
        <v>7</v>
      </c>
      <c r="C24" s="80"/>
      <c r="D24" s="19"/>
      <c r="E24" s="16"/>
      <c r="F24" s="19"/>
      <c r="G24" s="20"/>
      <c r="H24" s="20"/>
      <c r="I24" s="53" t="s">
        <v>6</v>
      </c>
      <c r="J24" s="3"/>
      <c r="K24" s="14"/>
      <c r="L24" s="81" t="s">
        <v>18</v>
      </c>
      <c r="M24" s="81"/>
      <c r="AB24" s="11">
        <v>19</v>
      </c>
    </row>
    <row r="25" spans="1:28" s="11" customFormat="1" ht="18.600000000000001" customHeight="1" x14ac:dyDescent="0.2">
      <c r="A25" s="13"/>
      <c r="B25" s="15" t="s">
        <v>17</v>
      </c>
      <c r="C25" s="86">
        <v>250</v>
      </c>
      <c r="D25" s="24"/>
      <c r="E25" s="17"/>
      <c r="F25" s="15" t="s">
        <v>22</v>
      </c>
      <c r="G25" s="22"/>
      <c r="H25" s="26"/>
      <c r="I25" s="45">
        <f>C29/C28</f>
        <v>156.25</v>
      </c>
      <c r="J25" s="21"/>
      <c r="K25" s="14"/>
      <c r="L25" s="79">
        <f>I27</f>
        <v>468750</v>
      </c>
      <c r="M25" s="79"/>
      <c r="AB25" s="11">
        <v>20</v>
      </c>
    </row>
    <row r="26" spans="1:28" s="11" customFormat="1" ht="18.600000000000001" customHeight="1" x14ac:dyDescent="0.2">
      <c r="A26" s="13"/>
      <c r="B26" s="15" t="s">
        <v>8</v>
      </c>
      <c r="C26" s="86">
        <v>4</v>
      </c>
      <c r="D26" s="24"/>
      <c r="E26" s="17"/>
      <c r="F26" s="15" t="s">
        <v>14</v>
      </c>
      <c r="G26" s="22"/>
      <c r="H26" s="26"/>
      <c r="I26" s="45">
        <f>C26*C27*C29/C28+C32*C33</f>
        <v>1875</v>
      </c>
      <c r="J26" s="21"/>
      <c r="K26" s="14"/>
      <c r="L26" s="79"/>
      <c r="M26" s="79"/>
    </row>
    <row r="27" spans="1:28" s="11" customFormat="1" ht="18.600000000000001" customHeight="1" x14ac:dyDescent="0.2">
      <c r="A27" s="13"/>
      <c r="B27" s="15" t="s">
        <v>9</v>
      </c>
      <c r="C27" s="86">
        <v>3</v>
      </c>
      <c r="D27" s="24"/>
      <c r="E27" s="17"/>
      <c r="F27" s="15" t="s">
        <v>16</v>
      </c>
      <c r="G27" s="22"/>
      <c r="H27" s="26"/>
      <c r="I27" s="45">
        <f>I26*C25</f>
        <v>468750</v>
      </c>
      <c r="J27" s="21"/>
      <c r="K27" s="14"/>
      <c r="L27" s="79"/>
      <c r="M27" s="79"/>
    </row>
    <row r="28" spans="1:28" s="11" customFormat="1" ht="18.600000000000001" customHeight="1" x14ac:dyDescent="0.2">
      <c r="A28" s="13"/>
      <c r="B28" s="15" t="s">
        <v>15</v>
      </c>
      <c r="C28" s="86">
        <v>160</v>
      </c>
      <c r="D28" s="24"/>
      <c r="E28" s="17"/>
      <c r="F28" s="15"/>
      <c r="G28" s="22"/>
      <c r="H28" s="26"/>
      <c r="I28" s="45"/>
      <c r="J28" s="21"/>
      <c r="K28" s="14"/>
      <c r="L28" s="79"/>
      <c r="M28" s="79"/>
    </row>
    <row r="29" spans="1:28" s="11" customFormat="1" ht="18.600000000000001" customHeight="1" x14ac:dyDescent="0.2">
      <c r="A29" s="13"/>
      <c r="B29" s="15" t="s">
        <v>12</v>
      </c>
      <c r="C29" s="86">
        <v>25000</v>
      </c>
      <c r="D29" s="25"/>
      <c r="E29" s="18"/>
      <c r="F29" s="15"/>
      <c r="G29" s="22"/>
      <c r="H29" s="26"/>
      <c r="I29" s="45"/>
      <c r="J29" s="21"/>
      <c r="K29" s="14"/>
      <c r="L29" s="79"/>
      <c r="M29" s="79"/>
      <c r="AB29" s="11">
        <v>21</v>
      </c>
    </row>
    <row r="30" spans="1:28" s="11" customFormat="1" ht="9" customHeight="1" x14ac:dyDescent="0.2">
      <c r="A30" s="13"/>
      <c r="B30" s="15"/>
      <c r="C30" s="15"/>
      <c r="D30" s="25"/>
      <c r="E30" s="18"/>
      <c r="F30" s="15"/>
      <c r="G30" s="22"/>
      <c r="H30" s="26"/>
      <c r="I30" s="45"/>
      <c r="J30" s="21"/>
      <c r="K30" s="14"/>
      <c r="L30" s="79"/>
      <c r="M30" s="79"/>
    </row>
    <row r="31" spans="1:28" s="11" customFormat="1" ht="15.95" customHeight="1" x14ac:dyDescent="0.2">
      <c r="A31" s="13"/>
      <c r="B31" s="82" t="s">
        <v>11</v>
      </c>
      <c r="C31" s="82"/>
      <c r="D31" s="82"/>
      <c r="E31" s="18"/>
      <c r="F31" s="15"/>
      <c r="G31" s="22"/>
      <c r="H31" s="26"/>
      <c r="I31" s="45"/>
      <c r="J31" s="21"/>
      <c r="K31" s="14"/>
      <c r="L31" s="79"/>
      <c r="M31" s="79"/>
    </row>
    <row r="32" spans="1:28" s="11" customFormat="1" ht="18.600000000000001" customHeight="1" x14ac:dyDescent="0.2">
      <c r="A32" s="13"/>
      <c r="B32" s="15" t="s">
        <v>10</v>
      </c>
      <c r="C32" s="88">
        <v>0</v>
      </c>
      <c r="D32" s="25"/>
      <c r="E32" s="18"/>
      <c r="F32" s="15"/>
      <c r="G32" s="22"/>
      <c r="H32" s="26"/>
      <c r="I32" s="45"/>
      <c r="J32" s="21"/>
      <c r="K32" s="14"/>
      <c r="L32" s="79"/>
      <c r="M32" s="79"/>
    </row>
    <row r="33" spans="1:28" s="11" customFormat="1" ht="18.600000000000001" customHeight="1" x14ac:dyDescent="0.2">
      <c r="A33" s="13"/>
      <c r="B33" s="15" t="s">
        <v>13</v>
      </c>
      <c r="C33" s="88">
        <v>2</v>
      </c>
      <c r="D33" s="25"/>
      <c r="E33" s="18"/>
      <c r="F33" s="15"/>
      <c r="G33" s="22"/>
      <c r="H33" s="26"/>
      <c r="I33" s="45"/>
      <c r="J33" s="21"/>
      <c r="K33" s="14"/>
      <c r="L33" s="79"/>
      <c r="M33" s="79"/>
    </row>
    <row r="34" spans="1:28" s="11" customFormat="1" ht="15.75" x14ac:dyDescent="0.2">
      <c r="A34" s="13"/>
      <c r="B34" s="15"/>
      <c r="C34" s="15"/>
      <c r="D34" s="15"/>
      <c r="E34" s="13"/>
      <c r="F34" s="21"/>
      <c r="G34" s="15"/>
      <c r="H34" s="15"/>
      <c r="I34" s="21"/>
      <c r="J34" s="21"/>
      <c r="K34" s="14"/>
      <c r="L34" s="79"/>
      <c r="M34" s="79"/>
      <c r="AB34" s="11">
        <v>23</v>
      </c>
    </row>
    <row r="35" spans="1:28" s="11" customFormat="1" ht="15.75" x14ac:dyDescent="0.2">
      <c r="A35" s="13"/>
      <c r="B35" s="13"/>
      <c r="C35" s="13"/>
      <c r="D35" s="13"/>
      <c r="E35" s="13"/>
      <c r="F35" s="14"/>
      <c r="G35" s="13"/>
      <c r="H35" s="13"/>
      <c r="I35" s="14"/>
      <c r="J35" s="14"/>
      <c r="K35" s="14"/>
      <c r="L35" s="14"/>
      <c r="M35" s="14"/>
      <c r="AB35" s="11">
        <v>24</v>
      </c>
    </row>
    <row r="36" spans="1:28" s="11" customFormat="1" ht="20.2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AB36" s="11">
        <v>27</v>
      </c>
    </row>
    <row r="37" spans="1:28" s="11" customFormat="1" ht="21.75" customHeight="1" x14ac:dyDescent="0.25">
      <c r="A37" s="77" t="s">
        <v>52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AB37" s="11">
        <v>28</v>
      </c>
    </row>
    <row r="38" spans="1:28" s="11" customForma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AB38" s="11">
        <v>29</v>
      </c>
    </row>
    <row r="39" spans="1:28" s="11" customFormat="1" ht="17.45" customHeight="1" x14ac:dyDescent="0.25">
      <c r="A39" s="12"/>
      <c r="B39" s="80" t="s">
        <v>7</v>
      </c>
      <c r="C39" s="80"/>
      <c r="D39" s="19"/>
      <c r="E39" s="16"/>
      <c r="F39" s="19"/>
      <c r="G39" s="20"/>
      <c r="H39" s="20"/>
      <c r="I39" s="53" t="s">
        <v>6</v>
      </c>
      <c r="J39" s="3"/>
      <c r="K39" s="14"/>
      <c r="L39" s="81" t="s">
        <v>18</v>
      </c>
      <c r="M39" s="81"/>
      <c r="AB39" s="11">
        <v>30</v>
      </c>
    </row>
    <row r="40" spans="1:28" s="11" customFormat="1" ht="17.45" customHeight="1" x14ac:dyDescent="0.2">
      <c r="A40" s="12"/>
      <c r="B40" s="63" t="s">
        <v>50</v>
      </c>
      <c r="C40" s="88" t="s">
        <v>65</v>
      </c>
      <c r="D40" s="23"/>
      <c r="E40" s="16"/>
      <c r="F40" s="15"/>
      <c r="G40" s="15"/>
      <c r="H40" s="15"/>
      <c r="I40" s="15"/>
      <c r="J40" s="46"/>
      <c r="K40" s="14"/>
      <c r="L40" s="79">
        <f>IF(C40="Нет", 0, IF(C44=0, I41, I43))</f>
        <v>63000</v>
      </c>
      <c r="M40" s="79"/>
    </row>
    <row r="41" spans="1:28" s="11" customFormat="1" ht="17.45" customHeight="1" x14ac:dyDescent="0.2">
      <c r="A41" s="13"/>
      <c r="B41" s="15" t="s">
        <v>2</v>
      </c>
      <c r="C41" s="88">
        <v>12</v>
      </c>
      <c r="D41" s="22"/>
      <c r="E41" s="12"/>
      <c r="F41" s="15" t="s">
        <v>23</v>
      </c>
      <c r="G41" s="22"/>
      <c r="H41" s="15"/>
      <c r="I41" s="46">
        <f>C41*C42*C43*I25</f>
        <v>15000</v>
      </c>
      <c r="J41" s="15"/>
      <c r="K41" s="12"/>
      <c r="L41" s="79"/>
      <c r="M41" s="79"/>
      <c r="AB41" s="11">
        <v>31</v>
      </c>
    </row>
    <row r="42" spans="1:28" s="11" customFormat="1" ht="17.45" customHeight="1" x14ac:dyDescent="0.2">
      <c r="A42" s="13"/>
      <c r="B42" s="15" t="s">
        <v>20</v>
      </c>
      <c r="C42" s="88">
        <v>4</v>
      </c>
      <c r="D42" s="22"/>
      <c r="E42" s="12"/>
      <c r="F42" s="15"/>
      <c r="G42" s="22"/>
      <c r="H42" s="15"/>
      <c r="I42" s="46"/>
      <c r="J42" s="15"/>
      <c r="K42" s="12"/>
      <c r="L42" s="79"/>
      <c r="M42" s="79"/>
      <c r="AB42" s="11">
        <v>32</v>
      </c>
    </row>
    <row r="43" spans="1:28" s="11" customFormat="1" ht="17.45" customHeight="1" x14ac:dyDescent="0.2">
      <c r="A43" s="13"/>
      <c r="B43" s="15" t="s">
        <v>21</v>
      </c>
      <c r="C43" s="88">
        <v>2</v>
      </c>
      <c r="D43" s="22"/>
      <c r="E43" s="12"/>
      <c r="F43" s="15" t="s">
        <v>24</v>
      </c>
      <c r="G43" s="22"/>
      <c r="H43" s="15"/>
      <c r="I43" s="46">
        <f>IF(C44=0, 0, C41*(C42*C43*I25+C44*C42))</f>
        <v>63000</v>
      </c>
      <c r="J43" s="15"/>
      <c r="K43" s="12"/>
      <c r="L43" s="79"/>
      <c r="M43" s="79"/>
    </row>
    <row r="44" spans="1:28" s="11" customFormat="1" ht="17.45" customHeight="1" x14ac:dyDescent="0.2">
      <c r="A44" s="13"/>
      <c r="B44" s="15" t="s">
        <v>19</v>
      </c>
      <c r="C44" s="86">
        <v>1000</v>
      </c>
      <c r="D44" s="22"/>
      <c r="E44" s="12"/>
      <c r="F44" s="15"/>
      <c r="G44" s="22"/>
      <c r="H44" s="15"/>
      <c r="I44" s="46"/>
      <c r="J44" s="15"/>
      <c r="K44" s="12"/>
      <c r="L44" s="79"/>
      <c r="M44" s="79"/>
      <c r="AB44" s="11">
        <v>33</v>
      </c>
    </row>
    <row r="45" spans="1:28" s="11" customFormat="1" ht="17.45" customHeight="1" x14ac:dyDescent="0.2">
      <c r="A45" s="12"/>
      <c r="B45" s="23"/>
      <c r="C45" s="23"/>
      <c r="D45" s="22"/>
      <c r="E45" s="12"/>
      <c r="F45" s="15"/>
      <c r="G45" s="15"/>
      <c r="H45" s="15"/>
      <c r="I45" s="15"/>
      <c r="J45" s="15"/>
      <c r="K45" s="12"/>
      <c r="L45" s="79"/>
      <c r="M45" s="79"/>
      <c r="AB45" s="11">
        <v>35</v>
      </c>
    </row>
    <row r="46" spans="1:28" s="12" customFormat="1" ht="15.75" x14ac:dyDescent="0.2">
      <c r="B46" s="10"/>
      <c r="C46" s="10"/>
      <c r="AB46" s="12">
        <v>36</v>
      </c>
    </row>
    <row r="47" spans="1:28" s="2" customFormat="1" ht="15" customHeight="1" x14ac:dyDescent="0.25">
      <c r="B47" s="1"/>
      <c r="C47" s="1"/>
      <c r="AB47" s="2">
        <v>38</v>
      </c>
    </row>
    <row r="48" spans="1:28" ht="22.5" customHeight="1" x14ac:dyDescent="0.25">
      <c r="A48" s="77" t="s">
        <v>0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AB48">
        <v>39</v>
      </c>
    </row>
    <row r="49" spans="1:28" ht="22.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28" s="62" customFormat="1" ht="21.75" customHeight="1" x14ac:dyDescent="0.25">
      <c r="A50" s="61"/>
      <c r="B50" s="68" t="s">
        <v>42</v>
      </c>
      <c r="C50" s="69"/>
      <c r="D50" s="69"/>
      <c r="E50" s="70"/>
      <c r="F50" s="71" t="s">
        <v>37</v>
      </c>
      <c r="G50" s="69"/>
      <c r="H50" s="69"/>
      <c r="I50" s="69"/>
      <c r="J50" s="69"/>
      <c r="K50" s="70"/>
      <c r="L50" s="76" t="s">
        <v>60</v>
      </c>
      <c r="M50" s="76"/>
      <c r="AB50" s="62">
        <v>40</v>
      </c>
    </row>
    <row r="51" spans="1:28" ht="18.95" customHeight="1" x14ac:dyDescent="0.25">
      <c r="A51" s="27"/>
      <c r="B51" s="38" t="s">
        <v>29</v>
      </c>
      <c r="C51" s="89">
        <v>2500000</v>
      </c>
      <c r="D51" s="15"/>
      <c r="E51" s="12"/>
      <c r="F51" s="60" t="s">
        <v>31</v>
      </c>
      <c r="G51" s="50">
        <f>IF(C51=0,0,(1-$L$51)*$C$55)</f>
        <v>-1849199.1765625</v>
      </c>
      <c r="H51" s="29"/>
      <c r="I51" s="6"/>
      <c r="J51" s="28"/>
      <c r="K51" s="27"/>
      <c r="L51" s="75">
        <f>IF(C51=0,"",C51/C55)</f>
        <v>3.8414210768743575</v>
      </c>
      <c r="M51" s="75"/>
      <c r="AB51">
        <v>41</v>
      </c>
    </row>
    <row r="52" spans="1:28" ht="18.95" customHeight="1" x14ac:dyDescent="0.25">
      <c r="A52" s="27"/>
      <c r="B52" s="39" t="s">
        <v>61</v>
      </c>
      <c r="C52" s="47">
        <f>L11</f>
        <v>119050.82343749999</v>
      </c>
      <c r="D52" s="15"/>
      <c r="E52" s="12"/>
      <c r="F52" s="60" t="s">
        <v>32</v>
      </c>
      <c r="G52" s="50">
        <f>IF(C51=0,0,(2-$L$51)*$C$55)</f>
        <v>-1198398.3531249999</v>
      </c>
      <c r="H52" s="31"/>
      <c r="I52" s="6"/>
      <c r="J52" s="28"/>
      <c r="K52" s="27"/>
      <c r="L52" s="75"/>
      <c r="M52" s="75"/>
      <c r="AB52">
        <v>42</v>
      </c>
    </row>
    <row r="53" spans="1:28" ht="18.95" customHeight="1" x14ac:dyDescent="0.25">
      <c r="A53" s="27"/>
      <c r="B53" s="39" t="s">
        <v>30</v>
      </c>
      <c r="C53" s="47">
        <f>L40+L25</f>
        <v>531750</v>
      </c>
      <c r="D53" s="15"/>
      <c r="E53" s="12"/>
      <c r="F53" s="60" t="s">
        <v>33</v>
      </c>
      <c r="G53" s="50">
        <f>IF(C51=0,0,(3-$L$51)*$C$55)</f>
        <v>-547597.52968749986</v>
      </c>
      <c r="H53" s="31"/>
      <c r="I53" s="6"/>
      <c r="J53" s="28"/>
      <c r="K53" s="27"/>
      <c r="L53" s="75"/>
      <c r="M53" s="75"/>
      <c r="AB53">
        <v>43</v>
      </c>
    </row>
    <row r="54" spans="1:28" ht="18.95" customHeight="1" x14ac:dyDescent="0.25">
      <c r="A54" s="27"/>
      <c r="B54" s="6"/>
      <c r="C54" s="48"/>
      <c r="D54" s="15"/>
      <c r="E54" s="12"/>
      <c r="F54" s="60" t="s">
        <v>34</v>
      </c>
      <c r="G54" s="50">
        <f>IF(C51=0,0,(4-$L$51)*$C$55)</f>
        <v>103203.29375000014</v>
      </c>
      <c r="H54" s="32"/>
      <c r="I54" s="6"/>
      <c r="J54" s="28"/>
      <c r="K54" s="27"/>
      <c r="L54" s="75"/>
      <c r="M54" s="75"/>
      <c r="AB54">
        <v>44</v>
      </c>
    </row>
    <row r="55" spans="1:28" ht="18.95" customHeight="1" x14ac:dyDescent="0.25">
      <c r="A55" s="27"/>
      <c r="B55" s="40" t="s">
        <v>43</v>
      </c>
      <c r="C55" s="49">
        <f>C53+C52</f>
        <v>650800.82343750005</v>
      </c>
      <c r="D55" s="15"/>
      <c r="E55" s="12"/>
      <c r="F55" s="60" t="s">
        <v>35</v>
      </c>
      <c r="G55" s="50">
        <f>IF(C51=0,0,(5-$L$51)*$C$55)</f>
        <v>754004.11718750023</v>
      </c>
      <c r="H55" s="33"/>
      <c r="I55" s="30"/>
      <c r="J55" s="28"/>
      <c r="K55" s="27"/>
      <c r="L55" s="75"/>
      <c r="M55" s="75"/>
      <c r="AB55">
        <v>45</v>
      </c>
    </row>
    <row r="56" spans="1:28" ht="18.95" customHeight="1" x14ac:dyDescent="0.25">
      <c r="A56" s="27"/>
      <c r="B56" s="40"/>
      <c r="C56" s="49"/>
      <c r="D56" s="15"/>
      <c r="E56" s="12"/>
      <c r="F56" s="60" t="s">
        <v>38</v>
      </c>
      <c r="G56" s="50">
        <f>IF(C51=0,0,(6-$L$51)*$C$55)</f>
        <v>1404804.9406250003</v>
      </c>
      <c r="H56" s="33"/>
      <c r="I56" s="30"/>
      <c r="J56" s="28"/>
      <c r="K56" s="27"/>
      <c r="L56" s="75"/>
      <c r="M56" s="75"/>
    </row>
    <row r="57" spans="1:28" ht="18.95" customHeight="1" x14ac:dyDescent="0.25">
      <c r="A57" s="27"/>
      <c r="B57" s="40"/>
      <c r="C57" s="49"/>
      <c r="D57" s="15"/>
      <c r="E57" s="12"/>
      <c r="F57" s="60" t="s">
        <v>39</v>
      </c>
      <c r="G57" s="50">
        <f>IF(C51=0,0,(7-$L$51)*$C$55)</f>
        <v>2055605.7640625003</v>
      </c>
      <c r="H57" s="33"/>
      <c r="I57" s="30"/>
      <c r="J57" s="28"/>
      <c r="K57" s="27"/>
      <c r="L57" s="75"/>
      <c r="M57" s="75"/>
    </row>
    <row r="58" spans="1:28" ht="18.95" customHeight="1" x14ac:dyDescent="0.25">
      <c r="A58" s="27"/>
      <c r="B58" s="40"/>
      <c r="C58" s="49"/>
      <c r="D58" s="15"/>
      <c r="E58" s="12"/>
      <c r="F58" s="60" t="s">
        <v>40</v>
      </c>
      <c r="G58" s="50">
        <f>IF(C51=0,0,(8-$L$51)*$C$55)</f>
        <v>2706406.5874999999</v>
      </c>
      <c r="H58" s="33"/>
      <c r="I58" s="30"/>
      <c r="J58" s="28"/>
      <c r="K58" s="27"/>
      <c r="L58" s="75"/>
      <c r="M58" s="75"/>
    </row>
    <row r="59" spans="1:28" ht="18.95" customHeight="1" x14ac:dyDescent="0.25">
      <c r="A59" s="27"/>
      <c r="B59" s="15"/>
      <c r="C59" s="15"/>
      <c r="D59" s="15"/>
      <c r="E59" s="12"/>
      <c r="F59" s="60" t="s">
        <v>41</v>
      </c>
      <c r="G59" s="50">
        <f>IF(C51=0,0,(9-$L$51)*$C$55)</f>
        <v>3357207.4109375002</v>
      </c>
      <c r="H59" s="28"/>
      <c r="I59" s="28"/>
      <c r="J59" s="28"/>
      <c r="K59" s="27"/>
      <c r="L59" s="75"/>
      <c r="M59" s="75"/>
      <c r="AB59">
        <v>46</v>
      </c>
    </row>
    <row r="60" spans="1:28" ht="18.95" customHeight="1" x14ac:dyDescent="0.25">
      <c r="A60" s="27"/>
      <c r="B60" s="41"/>
      <c r="C60" s="15"/>
      <c r="D60" s="15"/>
      <c r="E60" s="12"/>
      <c r="F60" s="60" t="s">
        <v>36</v>
      </c>
      <c r="G60" s="50">
        <f>IF(C51=0,0,(10-$L$51)*$C$55)</f>
        <v>4008008.234375</v>
      </c>
      <c r="H60" s="33"/>
      <c r="I60" s="30"/>
      <c r="J60" s="28"/>
      <c r="K60" s="27"/>
      <c r="L60" s="75"/>
      <c r="M60" s="75"/>
      <c r="AB60">
        <v>47</v>
      </c>
    </row>
    <row r="61" spans="1:28" ht="15.75" x14ac:dyDescent="0.25">
      <c r="A61" s="27"/>
      <c r="B61" s="5"/>
      <c r="C61" s="5"/>
      <c r="D61" s="36"/>
      <c r="E61" s="27"/>
      <c r="F61" s="7"/>
      <c r="G61" s="35"/>
      <c r="H61" s="28"/>
      <c r="I61" s="28"/>
      <c r="J61" s="28"/>
      <c r="K61" s="27"/>
      <c r="L61" s="75"/>
      <c r="M61" s="75"/>
      <c r="AB61">
        <v>48</v>
      </c>
    </row>
    <row r="62" spans="1:28" ht="15.75" x14ac:dyDescent="0.25">
      <c r="A62" s="27"/>
      <c r="B62" s="2"/>
      <c r="C62" s="2"/>
      <c r="D62" s="27"/>
      <c r="E62" s="27"/>
      <c r="F62" s="16"/>
      <c r="G62" s="37"/>
      <c r="H62" s="27"/>
      <c r="I62" s="27"/>
      <c r="J62" s="27"/>
      <c r="K62" s="27"/>
      <c r="L62" s="27"/>
      <c r="M62" s="27"/>
      <c r="AB62">
        <v>49</v>
      </c>
    </row>
    <row r="63" spans="1:28" ht="15.75" x14ac:dyDescent="0.25">
      <c r="A63" s="27"/>
      <c r="B63" s="2"/>
      <c r="C63" s="2"/>
      <c r="D63" s="27"/>
      <c r="E63" s="27"/>
      <c r="F63" s="56"/>
      <c r="G63" s="56" t="s">
        <v>45</v>
      </c>
      <c r="H63" s="28" t="s">
        <v>46</v>
      </c>
      <c r="I63" s="56"/>
      <c r="J63" s="28"/>
      <c r="K63" s="27"/>
      <c r="L63" s="27"/>
      <c r="M63" s="27"/>
      <c r="AB63">
        <v>50</v>
      </c>
    </row>
    <row r="64" spans="1:28" ht="15.75" x14ac:dyDescent="0.25">
      <c r="A64" s="27"/>
      <c r="B64" s="2"/>
      <c r="C64" s="2"/>
      <c r="D64" s="27"/>
      <c r="E64" s="27"/>
      <c r="F64" s="56" t="s">
        <v>47</v>
      </c>
      <c r="G64" s="57">
        <f>I15*10</f>
        <v>3750300</v>
      </c>
      <c r="H64" s="57">
        <f>I16*10</f>
        <v>2559791.765625</v>
      </c>
      <c r="I64" s="57"/>
      <c r="J64" s="28"/>
      <c r="K64" s="27"/>
      <c r="L64" s="27"/>
      <c r="M64" s="27"/>
      <c r="AB64">
        <v>51</v>
      </c>
    </row>
    <row r="65" spans="1:28" ht="15.75" x14ac:dyDescent="0.25">
      <c r="A65" s="27"/>
      <c r="B65" s="2"/>
      <c r="C65" s="2"/>
      <c r="D65" s="27"/>
      <c r="E65" s="27"/>
      <c r="F65" s="56" t="s">
        <v>49</v>
      </c>
      <c r="G65" s="57">
        <f>I27*10</f>
        <v>4687500</v>
      </c>
      <c r="H65" s="57">
        <v>0</v>
      </c>
      <c r="I65" s="57"/>
      <c r="J65" s="28"/>
      <c r="K65" s="27"/>
      <c r="L65" s="27"/>
      <c r="M65" s="27"/>
      <c r="AB65">
        <v>52</v>
      </c>
    </row>
    <row r="66" spans="1:28" x14ac:dyDescent="0.25">
      <c r="A66" s="2"/>
      <c r="B66" s="2"/>
      <c r="C66" s="2"/>
      <c r="D66" s="2"/>
      <c r="E66" s="2"/>
      <c r="F66" s="56" t="s">
        <v>48</v>
      </c>
      <c r="G66" s="58">
        <f>IF(C44=0,I41*10,I43*10)</f>
        <v>630000</v>
      </c>
      <c r="H66" s="57">
        <f>IF(C40="Да", 0, IF(C44=0, I41*10, I43*10))</f>
        <v>0</v>
      </c>
      <c r="I66" s="59"/>
      <c r="J66" s="5"/>
      <c r="K66" s="51"/>
      <c r="L66" s="85"/>
      <c r="M66" s="2"/>
      <c r="AB66">
        <v>53</v>
      </c>
    </row>
    <row r="67" spans="1:28" x14ac:dyDescent="0.25">
      <c r="A67" s="2"/>
      <c r="B67" s="2"/>
      <c r="C67" s="2"/>
      <c r="D67" s="2"/>
      <c r="E67" s="2"/>
      <c r="F67" s="2"/>
      <c r="G67" s="55"/>
      <c r="H67" s="54"/>
      <c r="I67" s="51"/>
      <c r="J67" s="51"/>
      <c r="K67" s="51"/>
      <c r="L67" s="85"/>
      <c r="M67" s="2"/>
      <c r="AB67">
        <v>54</v>
      </c>
    </row>
    <row r="68" spans="1:2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AB68">
        <v>55</v>
      </c>
    </row>
    <row r="69" spans="1:2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AB69">
        <v>56</v>
      </c>
    </row>
    <row r="70" spans="1:2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AB70">
        <v>57</v>
      </c>
    </row>
    <row r="71" spans="1:28" x14ac:dyDescent="0.25">
      <c r="A71" s="2"/>
      <c r="B71" s="2"/>
      <c r="C71" s="2"/>
      <c r="D71" s="2"/>
      <c r="E71" s="2"/>
      <c r="F71" s="2"/>
      <c r="G71" s="2"/>
      <c r="H71" s="2"/>
      <c r="J71" s="2"/>
      <c r="K71" s="2"/>
      <c r="L71" s="2"/>
      <c r="M71" s="2"/>
      <c r="AB71">
        <v>58</v>
      </c>
    </row>
    <row r="72" spans="1:2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AB72">
        <v>59</v>
      </c>
    </row>
    <row r="73" spans="1:28" x14ac:dyDescent="0.25">
      <c r="A73" s="2"/>
      <c r="B73" s="2"/>
      <c r="C73" s="2"/>
      <c r="D73" s="2"/>
      <c r="E73" s="2"/>
      <c r="F73" s="2"/>
      <c r="G73" s="2"/>
      <c r="H73" s="52"/>
      <c r="I73" s="52"/>
      <c r="J73" s="2"/>
      <c r="K73" s="2"/>
      <c r="L73" s="2"/>
      <c r="M73" s="2"/>
      <c r="AB73">
        <v>60</v>
      </c>
    </row>
    <row r="74" spans="1:28" x14ac:dyDescent="0.25">
      <c r="A74" s="2"/>
      <c r="B74" s="2"/>
      <c r="C74" s="2"/>
      <c r="D74" s="2"/>
      <c r="E74" s="2"/>
      <c r="F74" s="2"/>
      <c r="G74" s="2"/>
      <c r="H74" s="52"/>
      <c r="I74" s="52"/>
      <c r="J74" s="2"/>
      <c r="K74" s="2"/>
      <c r="L74" s="2"/>
      <c r="M74" s="2"/>
      <c r="AB74">
        <v>61</v>
      </c>
    </row>
    <row r="75" spans="1:28" x14ac:dyDescent="0.25">
      <c r="A75" s="2"/>
      <c r="B75" s="2"/>
      <c r="C75" s="2"/>
      <c r="D75" s="2"/>
      <c r="E75" s="2"/>
      <c r="F75" s="2"/>
      <c r="G75" s="2"/>
      <c r="H75" s="52"/>
      <c r="I75" s="52"/>
      <c r="J75" s="2"/>
      <c r="K75" s="2"/>
      <c r="L75" s="2"/>
      <c r="M75" s="2"/>
      <c r="AB75">
        <v>62</v>
      </c>
    </row>
    <row r="76" spans="1:28" x14ac:dyDescent="0.25">
      <c r="A76" s="2"/>
      <c r="B76" s="2"/>
      <c r="C76" s="2"/>
      <c r="D76" s="2"/>
      <c r="E76" s="2"/>
      <c r="F76" s="2"/>
      <c r="G76" s="2"/>
      <c r="H76" s="52"/>
      <c r="I76" s="52"/>
      <c r="J76" s="2"/>
      <c r="K76" s="2"/>
      <c r="L76" s="2"/>
      <c r="M76" s="2"/>
      <c r="AB76">
        <v>63</v>
      </c>
    </row>
    <row r="77" spans="1:28" x14ac:dyDescent="0.25">
      <c r="A77" s="2"/>
      <c r="B77" s="2"/>
      <c r="C77" s="2"/>
      <c r="D77" s="2"/>
      <c r="E77" s="2"/>
      <c r="F77" s="2"/>
      <c r="G77" s="2"/>
      <c r="H77" s="52"/>
      <c r="I77" s="52"/>
      <c r="J77" s="2"/>
      <c r="K77" s="2"/>
      <c r="L77" s="2"/>
      <c r="M77" s="2"/>
      <c r="AB77">
        <v>64</v>
      </c>
    </row>
    <row r="78" spans="1:28" x14ac:dyDescent="0.25">
      <c r="A78" s="2"/>
      <c r="B78" s="2"/>
      <c r="C78" s="2"/>
      <c r="D78" s="2"/>
      <c r="E78" s="2"/>
      <c r="F78" s="2"/>
      <c r="G78" s="2"/>
      <c r="H78" s="52"/>
      <c r="I78" s="52"/>
      <c r="J78" s="2"/>
      <c r="K78" s="2"/>
      <c r="L78" s="2"/>
      <c r="M78" s="2"/>
      <c r="AB78">
        <v>65</v>
      </c>
    </row>
    <row r="79" spans="1:28" x14ac:dyDescent="0.25">
      <c r="A79" s="2"/>
      <c r="B79" s="2"/>
      <c r="C79" s="2"/>
      <c r="D79" s="2"/>
      <c r="E79" s="2"/>
      <c r="F79" s="2"/>
      <c r="G79" s="2"/>
      <c r="H79" s="52"/>
      <c r="I79" s="52"/>
      <c r="J79" s="2"/>
      <c r="K79" s="2"/>
      <c r="L79" s="2"/>
      <c r="M79" s="2"/>
      <c r="AB79">
        <v>66</v>
      </c>
    </row>
    <row r="80" spans="1:28" x14ac:dyDescent="0.25">
      <c r="A80" s="2"/>
      <c r="B80" s="2"/>
      <c r="C80" s="2"/>
      <c r="D80" s="2"/>
      <c r="E80" s="2"/>
      <c r="F80" s="2"/>
      <c r="G80" s="2"/>
      <c r="H80" s="52"/>
      <c r="I80" s="52"/>
      <c r="J80" s="2"/>
      <c r="K80" s="2"/>
      <c r="L80" s="2"/>
      <c r="M80" s="2"/>
      <c r="AB80">
        <v>67</v>
      </c>
    </row>
    <row r="81" spans="1:28" x14ac:dyDescent="0.25">
      <c r="A81" s="2"/>
      <c r="B81" s="2"/>
      <c r="C81" s="2"/>
      <c r="D81" s="2"/>
      <c r="E81" s="2"/>
      <c r="F81" s="2"/>
      <c r="G81" s="2"/>
      <c r="H81" s="52"/>
      <c r="I81" s="52"/>
      <c r="J81" s="2"/>
      <c r="K81" s="2"/>
      <c r="L81" s="2"/>
      <c r="M81" s="2"/>
      <c r="AB81">
        <v>68</v>
      </c>
    </row>
    <row r="82" spans="1:28" ht="28.5" customHeight="1" x14ac:dyDescent="0.25">
      <c r="A82" s="84" t="s">
        <v>44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AB82">
        <v>69</v>
      </c>
    </row>
    <row r="83" spans="1:28" x14ac:dyDescent="0.25">
      <c r="AB83">
        <v>70</v>
      </c>
    </row>
    <row r="84" spans="1:28" x14ac:dyDescent="0.25">
      <c r="AB84">
        <v>72</v>
      </c>
    </row>
    <row r="85" spans="1:28" x14ac:dyDescent="0.25">
      <c r="AB85">
        <v>73</v>
      </c>
    </row>
    <row r="86" spans="1:28" x14ac:dyDescent="0.25">
      <c r="AB86">
        <v>74</v>
      </c>
    </row>
    <row r="87" spans="1:28" x14ac:dyDescent="0.25">
      <c r="AB87">
        <v>75</v>
      </c>
    </row>
    <row r="88" spans="1:28" x14ac:dyDescent="0.25">
      <c r="AB88">
        <v>76</v>
      </c>
    </row>
    <row r="89" spans="1:28" x14ac:dyDescent="0.25">
      <c r="AB89">
        <v>77</v>
      </c>
    </row>
    <row r="90" spans="1:28" x14ac:dyDescent="0.25">
      <c r="AB90">
        <v>78</v>
      </c>
    </row>
    <row r="91" spans="1:28" x14ac:dyDescent="0.25">
      <c r="AB91">
        <v>79</v>
      </c>
    </row>
    <row r="92" spans="1:28" x14ac:dyDescent="0.25">
      <c r="AB92">
        <v>80</v>
      </c>
    </row>
    <row r="93" spans="1:28" x14ac:dyDescent="0.25">
      <c r="AB93">
        <v>81</v>
      </c>
    </row>
    <row r="94" spans="1:28" x14ac:dyDescent="0.25">
      <c r="AB94">
        <v>82</v>
      </c>
    </row>
    <row r="95" spans="1:28" x14ac:dyDescent="0.25">
      <c r="AB95">
        <v>83</v>
      </c>
    </row>
    <row r="96" spans="1:28" x14ac:dyDescent="0.25">
      <c r="AB96">
        <v>84</v>
      </c>
    </row>
    <row r="97" spans="28:28" x14ac:dyDescent="0.25">
      <c r="AB97">
        <v>85</v>
      </c>
    </row>
    <row r="98" spans="28:28" x14ac:dyDescent="0.25">
      <c r="AB98">
        <v>86</v>
      </c>
    </row>
    <row r="99" spans="28:28" x14ac:dyDescent="0.25">
      <c r="AB99">
        <v>87</v>
      </c>
    </row>
    <row r="100" spans="28:28" x14ac:dyDescent="0.25">
      <c r="AB100">
        <v>88</v>
      </c>
    </row>
    <row r="101" spans="28:28" x14ac:dyDescent="0.25">
      <c r="AB101">
        <v>89</v>
      </c>
    </row>
    <row r="102" spans="28:28" x14ac:dyDescent="0.25">
      <c r="AB102">
        <v>90</v>
      </c>
    </row>
    <row r="103" spans="28:28" x14ac:dyDescent="0.25">
      <c r="AB103">
        <v>91</v>
      </c>
    </row>
    <row r="104" spans="28:28" x14ac:dyDescent="0.25">
      <c r="AB104">
        <v>92</v>
      </c>
    </row>
    <row r="105" spans="28:28" x14ac:dyDescent="0.25">
      <c r="AB105">
        <v>93</v>
      </c>
    </row>
    <row r="106" spans="28:28" x14ac:dyDescent="0.25">
      <c r="AB106">
        <v>94</v>
      </c>
    </row>
    <row r="107" spans="28:28" x14ac:dyDescent="0.25">
      <c r="AB107">
        <v>95</v>
      </c>
    </row>
    <row r="108" spans="28:28" x14ac:dyDescent="0.25">
      <c r="AB108">
        <v>96</v>
      </c>
    </row>
    <row r="109" spans="28:28" x14ac:dyDescent="0.25">
      <c r="AB109">
        <v>97</v>
      </c>
    </row>
    <row r="110" spans="28:28" x14ac:dyDescent="0.25">
      <c r="AB110">
        <v>98</v>
      </c>
    </row>
    <row r="111" spans="28:28" x14ac:dyDescent="0.25">
      <c r="AB111">
        <v>99</v>
      </c>
    </row>
    <row r="112" spans="28:28" x14ac:dyDescent="0.25">
      <c r="AB112">
        <v>100</v>
      </c>
    </row>
  </sheetData>
  <sheetProtection password="8106" sheet="1" formatCells="0" formatColumns="0" formatRows="0" insertColumns="0" insertRows="0" insertHyperlinks="0" deleteColumns="0" deleteRows="0" selectLockedCells="1" sort="0" autoFilter="0" pivotTables="0"/>
  <mergeCells count="22">
    <mergeCell ref="A82:M82"/>
    <mergeCell ref="A37:M37"/>
    <mergeCell ref="A48:M48"/>
    <mergeCell ref="L66:L67"/>
    <mergeCell ref="B39:C39"/>
    <mergeCell ref="L39:M39"/>
    <mergeCell ref="B18:M18"/>
    <mergeCell ref="A6:M6"/>
    <mergeCell ref="L51:M61"/>
    <mergeCell ref="L50:M50"/>
    <mergeCell ref="A8:M8"/>
    <mergeCell ref="L11:M17"/>
    <mergeCell ref="A22:M22"/>
    <mergeCell ref="L25:M34"/>
    <mergeCell ref="B10:C10"/>
    <mergeCell ref="B24:C24"/>
    <mergeCell ref="L10:M10"/>
    <mergeCell ref="B31:D31"/>
    <mergeCell ref="L24:M24"/>
    <mergeCell ref="L40:M45"/>
    <mergeCell ref="C19:M19"/>
    <mergeCell ref="C20:M20"/>
  </mergeCells>
  <conditionalFormatting sqref="G51:G62">
    <cfRule type="cellIs" dxfId="0" priority="1" operator="lessThan">
      <formula>0</formula>
    </cfRule>
  </conditionalFormatting>
  <dataValidations count="1">
    <dataValidation type="list" allowBlank="1" showInputMessage="1" showErrorMessage="1" sqref="C40">
      <formula1>"Да,Нет"</formula1>
    </dataValidation>
  </dataValidations>
  <hyperlinks>
    <hyperlink ref="C20" r:id="rId1"/>
    <hyperlink ref="C19" r:id="rId2" location="savings-calculator" display="savings-calculator"/>
  </hyperlinks>
  <pageMargins left="0.7" right="0.7" top="0.75" bottom="0.75" header="0.3" footer="0.3"/>
  <pageSetup paperSize="9" scale="4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Калькулятор ЭКОНОМИИ</vt:lpstr>
      <vt:lpstr>'Калькулятор ЭКОНОМИИ'!Область_печати</vt:lpstr>
    </vt:vector>
  </TitlesOfParts>
  <Company>Multitrode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stuartd</dc:creator>
  <cp:lastModifiedBy>User</cp:lastModifiedBy>
  <cp:lastPrinted>2016-11-01T22:04:12Z</cp:lastPrinted>
  <dcterms:created xsi:type="dcterms:W3CDTF">2009-03-07T11:19:02Z</dcterms:created>
  <dcterms:modified xsi:type="dcterms:W3CDTF">2020-08-12T07:32:00Z</dcterms:modified>
</cp:coreProperties>
</file>