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64A" lockStructure="1"/>
  <bookViews>
    <workbookView xWindow="0" yWindow="-15" windowWidth="9615" windowHeight="7560"/>
  </bookViews>
  <sheets>
    <sheet name="Power Calculator" sheetId="7" r:id="rId1"/>
    <sheet name="Narrow Band" sheetId="2" state="hidden" r:id="rId2"/>
    <sheet name="BB" sheetId="6" state="hidden" r:id="rId3"/>
    <sheet name="Lists" sheetId="5" state="hidden" r:id="rId4"/>
  </sheets>
  <externalReferences>
    <externalReference r:id="rId5"/>
    <externalReference r:id="rId6"/>
  </externalReferences>
  <definedNames>
    <definedName name="Amb" localSheetId="2">[1]Sheet1!$Y$67</definedName>
    <definedName name="Amb" localSheetId="0">'Power Calculator'!#REF!</definedName>
    <definedName name="Amb">'Narrow Band'!$AN$13</definedName>
    <definedName name="AmbNB">BB!$AN$13</definedName>
    <definedName name="asdfasd">[1]Sheet2!$AG$3</definedName>
    <definedName name="asfd">[1]Sheet2!$AG$3</definedName>
    <definedName name="Average1" localSheetId="0">[1]Sheet2!#REF!</definedName>
    <definedName name="Average1">[1]Sheet2!#REF!</definedName>
    <definedName name="BBCell15">BB!$AV$13</definedName>
    <definedName name="bbcELL25">BB!$AX$13</definedName>
    <definedName name="BBCell3">BB!$AY$13</definedName>
    <definedName name="BBCell35">BB!$BC$13</definedName>
    <definedName name="BBCell4">BB!$BB$13</definedName>
    <definedName name="BBCell45">BB!$BB$13</definedName>
    <definedName name="Cell05" localSheetId="0">'Power Calculator'!#REF!</definedName>
    <definedName name="Cell05">'Narrow Band'!$AR$13</definedName>
    <definedName name="Cell1" localSheetId="2">[1]Sheet2!$AH$8</definedName>
    <definedName name="Cell1" localSheetId="0">'Power Calculator'!#REF!</definedName>
    <definedName name="Cell1">'Narrow Band'!$AS$13</definedName>
    <definedName name="Cell15" localSheetId="0">'Power Calculator'!#REF!</definedName>
    <definedName name="Cell15">'Narrow Band'!$AT$13</definedName>
    <definedName name="Cell1NB">BB!$AS$13</definedName>
    <definedName name="Cell2" localSheetId="2">[1]Sheet2!$AH$9</definedName>
    <definedName name="Cell2" localSheetId="0">'Power Calculator'!#REF!</definedName>
    <definedName name="Cell2">'Narrow Band'!$AU$13</definedName>
    <definedName name="Cell2.5" localSheetId="0">'Power Calculator'!#REF!</definedName>
    <definedName name="Cell2.5">'Narrow Band'!$AV$13</definedName>
    <definedName name="Cell25" localSheetId="0">'Power Calculator'!#REF!</definedName>
    <definedName name="Cell25">'Narrow Band'!$AV$13</definedName>
    <definedName name="Cell2NB">BB!$AU$13</definedName>
    <definedName name="Cell3" localSheetId="2">[1]Sheet2!$AH$10</definedName>
    <definedName name="Cell3" localSheetId="0">'Power Calculator'!#REF!</definedName>
    <definedName name="Cell3">'Narrow Band'!$AW$13</definedName>
    <definedName name="Cell35" localSheetId="0">'Power Calculator'!#REF!</definedName>
    <definedName name="Cell35">'Narrow Band'!$AX$13</definedName>
    <definedName name="Cell3NB">BB!$AW$13</definedName>
    <definedName name="Cell4" localSheetId="2">[1]Sheet2!$AH$11</definedName>
    <definedName name="Cell4" localSheetId="0">'Power Calculator'!#REF!</definedName>
    <definedName name="Cell4">'Narrow Band'!$AY$13</definedName>
    <definedName name="Cell45" localSheetId="0">'Power Calculator'!#REF!</definedName>
    <definedName name="Cell45">'Narrow Band'!$AZ$13</definedName>
    <definedName name="Cell4NB">BB!$AY$13</definedName>
    <definedName name="Cell5" localSheetId="2">[1]Sheet2!$AG$12</definedName>
    <definedName name="Cell5" localSheetId="0">'Power Calculator'!#REF!</definedName>
    <definedName name="Cell5">'Narrow Band'!$BA$13</definedName>
    <definedName name="Cell5NB">BB!$BA$13</definedName>
    <definedName name="CellSize" localSheetId="2">BB!$BJ$13:$BJ$13</definedName>
    <definedName name="CellSize" localSheetId="0">#REF!</definedName>
    <definedName name="CellSize">#REF!</definedName>
    <definedName name="Coef_BB1" localSheetId="2">BB!$AR$13</definedName>
    <definedName name="Coef_BB1" localSheetId="0">#REF!</definedName>
    <definedName name="Coef_BB1">#REF!</definedName>
    <definedName name="Coef_BB10" localSheetId="2">BB!$BF$13</definedName>
    <definedName name="Coef_BB10" localSheetId="0">#REF!</definedName>
    <definedName name="Coef_BB10">#REF!</definedName>
    <definedName name="Coef_BB11" localSheetId="2">BB!$BG$13</definedName>
    <definedName name="Coef_BB11" localSheetId="0">#REF!</definedName>
    <definedName name="Coef_BB11">#REF!</definedName>
    <definedName name="Coef_BB2" localSheetId="2">BB!$AS$13</definedName>
    <definedName name="Coef_BB2" localSheetId="0">#REF!</definedName>
    <definedName name="Coef_BB2">#REF!</definedName>
    <definedName name="Coef_BB3" localSheetId="2">BB!$AT$13</definedName>
    <definedName name="Coef_BB3" localSheetId="0">#REF!</definedName>
    <definedName name="Coef_BB3">#REF!</definedName>
    <definedName name="Coef_BB4" localSheetId="2">BB!$AU$13</definedName>
    <definedName name="Coef_BB4" localSheetId="0">#REF!</definedName>
    <definedName name="Coef_BB4">#REF!</definedName>
    <definedName name="Coef_BB5" localSheetId="2">BB!$AW$13</definedName>
    <definedName name="Coef_BB5" localSheetId="0">#REF!</definedName>
    <definedName name="Coef_BB5">#REF!</definedName>
    <definedName name="Coef_BB6" localSheetId="2">BB!$AZ$13</definedName>
    <definedName name="Coef_BB6" localSheetId="0">#REF!</definedName>
    <definedName name="Coef_BB6">#REF!</definedName>
    <definedName name="Coef_BB7" localSheetId="2">BB!$BA$13</definedName>
    <definedName name="Coef_BB7" localSheetId="0">#REF!</definedName>
    <definedName name="Coef_BB7">#REF!</definedName>
    <definedName name="Coef_BB8" localSheetId="2">BB!$BD$13</definedName>
    <definedName name="Coef_BB8" localSheetId="0">#REF!</definedName>
    <definedName name="Coef_BB8">#REF!</definedName>
    <definedName name="Coef_BB9" localSheetId="2">BB!$BE$13</definedName>
    <definedName name="Coef_BB9" localSheetId="0">#REF!</definedName>
    <definedName name="Coef_BB9">#REF!</definedName>
    <definedName name="Coef1" localSheetId="2">'[1]Narrow Band'!$AG$3</definedName>
    <definedName name="Coef1" localSheetId="0">'Power Calculator'!#REF!</definedName>
    <definedName name="Coef1">'Narrow Band'!$AO$12</definedName>
    <definedName name="Coef10" localSheetId="2">'[1]Narrow Band'!$AG$12</definedName>
    <definedName name="Coef10" localSheetId="0">'Power Calculator'!#REF!</definedName>
    <definedName name="Coef10">'Narrow Band'!$AY$13</definedName>
    <definedName name="Coef11" localSheetId="2">'[1]Narrow Band'!$AG$13</definedName>
    <definedName name="Coef11" localSheetId="0">'Power Calculator'!#REF!</definedName>
    <definedName name="Coef11">'Narrow Band'!$BA$13</definedName>
    <definedName name="Coef2" localSheetId="2">'[1]Narrow Band'!$AG$4</definedName>
    <definedName name="Coef2" localSheetId="0">'Power Calculator'!#REF!</definedName>
    <definedName name="Coef2">'Narrow Band'!$AN$13</definedName>
    <definedName name="Coef3" localSheetId="2">'[1]Narrow Band'!$AG$5</definedName>
    <definedName name="Coef3" localSheetId="0">'Power Calculator'!#REF!</definedName>
    <definedName name="Coef3">'Narrow Band'!$AO$13</definedName>
    <definedName name="Coef3NB">BB!$AO$13</definedName>
    <definedName name="Coef4" localSheetId="2">'[1]Narrow Band'!$AG$6</definedName>
    <definedName name="Coef4" localSheetId="0">'Power Calculator'!#REF!</definedName>
    <definedName name="Coef4">'Narrow Band'!$AP$13</definedName>
    <definedName name="Coef4NB">BB!$AP$13</definedName>
    <definedName name="Coef5" localSheetId="2">'[1]Narrow Band'!$AG$7</definedName>
    <definedName name="Coef5" localSheetId="0">'Power Calculator'!#REF!</definedName>
    <definedName name="Coef5">'Narrow Band'!$AQ$13</definedName>
    <definedName name="Coef5NB">BB!$AQ$13</definedName>
    <definedName name="Coef6" localSheetId="2">'[1]Narrow Band'!$AG$8</definedName>
    <definedName name="Coef6" localSheetId="0">'Power Calculator'!#REF!</definedName>
    <definedName name="Coef6">'Narrow Band'!$AR$13</definedName>
    <definedName name="Coef7" localSheetId="2">'[1]Narrow Band'!$AG$9</definedName>
    <definedName name="Coef7" localSheetId="0">'Power Calculator'!#REF!</definedName>
    <definedName name="Coef7">'Narrow Band'!$AS$13</definedName>
    <definedName name="Coef8" localSheetId="2">'[1]Narrow Band'!$AG$10</definedName>
    <definedName name="Coef8" localSheetId="0">'Power Calculator'!#REF!</definedName>
    <definedName name="Coef8">'Narrow Band'!$AU$13</definedName>
    <definedName name="Coef9" localSheetId="2">'[1]Narrow Band'!$AG$11</definedName>
    <definedName name="Coef9" localSheetId="0">'Power Calculator'!#REF!</definedName>
    <definedName name="Coef9">'Narrow Band'!$AW$13</definedName>
    <definedName name="Coeff1" localSheetId="0">'Power Calculator'!#REF!</definedName>
    <definedName name="Coeff1">'Narrow Band'!#REF!</definedName>
    <definedName name="Depth" localSheetId="0">'Power Calculator'!#REF!</definedName>
    <definedName name="Depth">'Narrow Band'!#REF!</definedName>
    <definedName name="dsaf">[1]Sheet2!$AH$5</definedName>
    <definedName name="eje">[1]Sheet2!$AG$5</definedName>
    <definedName name="er">[1]Sheet2!$AH$3</definedName>
    <definedName name="eryt">[1]Sheet2!$AH$11</definedName>
    <definedName name="ety">[1]Sheet2!$AH$9</definedName>
    <definedName name="etye">[1]Sheet2!$AG$11</definedName>
    <definedName name="Export" localSheetId="2">[1]Sheet1!$Y$70</definedName>
    <definedName name="Export" localSheetId="0">#REF!</definedName>
    <definedName name="Export">#REF!</definedName>
    <definedName name="jejy">[1]Sheet2!$AG$4</definedName>
    <definedName name="Number_of_Samples">[2]Sheet1!$C$20</definedName>
    <definedName name="Output_Interval">[2]Sheet1!$C$22</definedName>
    <definedName name="Proc05">[1]Sheet2!$AA$6</definedName>
    <definedName name="Proc1">[1]Sheet2!$AA$11</definedName>
    <definedName name="Proc2">[1]Sheet2!$AA$21</definedName>
    <definedName name="Proc3">[1]Sheet2!$AA$31</definedName>
    <definedName name="Proc4">[1]Sheet2!$AA$31</definedName>
    <definedName name="ProcCurrCell" localSheetId="2">[1]Sheet1!$Y$69</definedName>
    <definedName name="ProcCurrCell" localSheetId="0">#REF!</definedName>
    <definedName name="ProcCurrCell">#REF!</definedName>
    <definedName name="rt">[1]Sheet2!$AH$3</definedName>
    <definedName name="Sample" localSheetId="2">[1]Sheet2!$AF$39</definedName>
    <definedName name="Sample" localSheetId="0">'Power Calculator'!#REF!</definedName>
    <definedName name="Sample">'Narrow Band'!$AQ$13</definedName>
    <definedName name="Sampling_Frequency">[2]Sheet1!$C$19</definedName>
    <definedName name="sdf">[1]Sheet2!$AG$3</definedName>
    <definedName name="sdfg">[1]Sheet2!$AH$5</definedName>
    <definedName name="t">[1]Sheet2!$AH$4</definedName>
    <definedName name="Table1" localSheetId="2">BB!$BJ$13:$BJ$13</definedName>
    <definedName name="Table1" localSheetId="0">#REF!</definedName>
    <definedName name="Table1">#REF!</definedName>
    <definedName name="Table2" localSheetId="2">BB!$BJ$13:$BJ$13</definedName>
    <definedName name="Table2" localSheetId="0">#REF!</definedName>
    <definedName name="Table2">#REF!</definedName>
    <definedName name="te">[1]Sheet2!$AH$6</definedName>
    <definedName name="Tidal_Averaging_Period">[2]Sheet1!$C$21</definedName>
    <definedName name="Tidalaverageperiod">#REF!</definedName>
    <definedName name="Tide_Coefficients">Lists!$N$5</definedName>
    <definedName name="tku">[1]Sheet2!$AG$6</definedName>
    <definedName name="try">[1]Sheet2!$AG$3</definedName>
    <definedName name="TX_Offset" localSheetId="0">'Power Calculator'!#REF!</definedName>
    <definedName name="TX_Offset">'Narrow Band'!$AO$13</definedName>
    <definedName name="Tx_Slope" localSheetId="0">'Power Calculator'!#REF!</definedName>
    <definedName name="Tx_Slope">'Narrow Band'!$AP$13</definedName>
    <definedName name="TxCurrBB" localSheetId="2">[1]Sheet1!$Y$68</definedName>
    <definedName name="TxCurrBB" localSheetId="0">#REF!</definedName>
    <definedName name="TxCurrBB">#REF!</definedName>
    <definedName name="ty">[1]Sheet2!$AH$8</definedName>
    <definedName name="uiotyl">[1]Sheet2!$AG$8</definedName>
    <definedName name="w">[1]Sheet2!$AH$3</definedName>
    <definedName name="Wave_Coefficient">Lists!$N$4</definedName>
    <definedName name="wetf">[1]Sheet2!$AH$5</definedName>
    <definedName name="yuil">[1]Sheet2!$AG$9</definedName>
  </definedNames>
  <calcPr calcId="145621"/>
</workbook>
</file>

<file path=xl/calcChain.xml><?xml version="1.0" encoding="utf-8"?>
<calcChain xmlns="http://schemas.openxmlformats.org/spreadsheetml/2006/main">
  <c r="N13" i="2" l="1"/>
  <c r="O13" i="2"/>
  <c r="P13" i="2"/>
  <c r="Q13" i="2"/>
  <c r="T13" i="2"/>
  <c r="U13" i="2"/>
  <c r="V13" i="2"/>
  <c r="W13" i="2"/>
  <c r="R13" i="2" l="1"/>
  <c r="S13" i="2"/>
  <c r="C13" i="2"/>
  <c r="AH14" i="7" l="1"/>
  <c r="AK14" i="7" s="1"/>
  <c r="AH15" i="7"/>
  <c r="AK15" i="7" s="1"/>
  <c r="AH16" i="7"/>
  <c r="AK16" i="7" s="1"/>
  <c r="AH17" i="7"/>
  <c r="AK17" i="7" s="1"/>
  <c r="AH13" i="7"/>
  <c r="AK13" i="7" s="1"/>
  <c r="AG14" i="7"/>
  <c r="AJ14" i="7" s="1"/>
  <c r="AG15" i="7"/>
  <c r="AJ15" i="7" s="1"/>
  <c r="AG16" i="7"/>
  <c r="AJ16" i="7" s="1"/>
  <c r="AG17" i="7"/>
  <c r="AJ17" i="7" s="1"/>
  <c r="AG13" i="7"/>
  <c r="AJ13" i="7" s="1"/>
  <c r="AF14" i="7"/>
  <c r="AI14" i="7" s="1"/>
  <c r="AF15" i="7"/>
  <c r="AI15" i="7" s="1"/>
  <c r="AF16" i="7"/>
  <c r="AI16" i="7" s="1"/>
  <c r="AF17" i="7"/>
  <c r="AI17" i="7" s="1"/>
  <c r="AF13" i="7"/>
  <c r="AI13" i="7" s="1"/>
  <c r="N14" i="2" l="1"/>
  <c r="O14" i="2"/>
  <c r="P14" i="2"/>
  <c r="Q14" i="2"/>
  <c r="T14" i="2"/>
  <c r="U14" i="2"/>
  <c r="V14" i="2"/>
  <c r="W14" i="2"/>
  <c r="N15" i="2"/>
  <c r="O15" i="2"/>
  <c r="Q15" i="2"/>
  <c r="T15" i="2"/>
  <c r="U15" i="2"/>
  <c r="V15" i="2"/>
  <c r="W15" i="2"/>
  <c r="N16" i="2"/>
  <c r="O16" i="2"/>
  <c r="Q16" i="2"/>
  <c r="T16" i="2"/>
  <c r="U16" i="2"/>
  <c r="V16" i="2"/>
  <c r="W16" i="2"/>
  <c r="N17" i="2"/>
  <c r="O17" i="2"/>
  <c r="P17" i="2"/>
  <c r="Q17" i="2"/>
  <c r="T17" i="2"/>
  <c r="U17" i="2"/>
  <c r="V17" i="2"/>
  <c r="W17" i="2"/>
  <c r="B13" i="2"/>
  <c r="D13" i="2"/>
  <c r="E13" i="2"/>
  <c r="H13" i="2"/>
  <c r="I13" i="2"/>
  <c r="J13" i="2"/>
  <c r="K13" i="2"/>
  <c r="I15" i="2"/>
  <c r="C14" i="2"/>
  <c r="C15" i="2"/>
  <c r="C16" i="2"/>
  <c r="C17" i="2"/>
  <c r="B15" i="2"/>
  <c r="B14" i="2"/>
  <c r="B16" i="2"/>
  <c r="B17" i="2"/>
  <c r="R14" i="2" l="1"/>
  <c r="R15" i="2"/>
  <c r="S17" i="2"/>
  <c r="S16" i="2"/>
  <c r="S14" i="2"/>
  <c r="R17" i="2"/>
  <c r="R16" i="2"/>
  <c r="S15" i="2"/>
  <c r="W35" i="5" l="1"/>
  <c r="Y13" i="6" l="1"/>
  <c r="S13" i="6"/>
  <c r="R36" i="5" l="1"/>
  <c r="R37" i="5"/>
  <c r="R38" i="5"/>
  <c r="R39" i="5"/>
  <c r="R35" i="5"/>
  <c r="N28" i="5"/>
  <c r="N29" i="5"/>
  <c r="N30" i="5"/>
  <c r="N31" i="5"/>
  <c r="N27" i="5"/>
  <c r="M28" i="5"/>
  <c r="M29" i="5"/>
  <c r="M30" i="5"/>
  <c r="M31" i="5"/>
  <c r="M27" i="5"/>
  <c r="L28" i="5"/>
  <c r="L29" i="5"/>
  <c r="L30" i="5"/>
  <c r="L31" i="5"/>
  <c r="L27" i="5"/>
  <c r="K28" i="5"/>
  <c r="K29" i="5"/>
  <c r="K30" i="5"/>
  <c r="K31" i="5"/>
  <c r="K27" i="5"/>
  <c r="W36" i="5" l="1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R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I38" i="5" l="1"/>
  <c r="K38" i="5" s="1"/>
  <c r="I39" i="5"/>
  <c r="K39" i="5" s="1"/>
  <c r="I37" i="5"/>
  <c r="K37" i="5" s="1"/>
  <c r="I36" i="5"/>
  <c r="K36" i="5" s="1"/>
  <c r="I35" i="5"/>
  <c r="K35" i="5" s="1"/>
  <c r="G35" i="5"/>
  <c r="H35" i="5"/>
  <c r="O35" i="5" l="1"/>
  <c r="J35" i="5"/>
  <c r="L35" i="5" s="1"/>
  <c r="E33" i="5"/>
  <c r="U35" i="5" l="1"/>
  <c r="G39" i="5"/>
  <c r="O39" i="5" s="1"/>
  <c r="G37" i="5"/>
  <c r="O37" i="5" s="1"/>
  <c r="G36" i="5"/>
  <c r="O36" i="5" s="1"/>
  <c r="G38" i="5"/>
  <c r="O38" i="5" s="1"/>
  <c r="T36" i="5"/>
  <c r="T37" i="5"/>
  <c r="T38" i="5"/>
  <c r="T39" i="5"/>
  <c r="S36" i="5"/>
  <c r="S37" i="5"/>
  <c r="S38" i="5"/>
  <c r="S39" i="5"/>
  <c r="P37" i="5" l="1"/>
  <c r="Q37" i="5"/>
  <c r="Q36" i="5"/>
  <c r="P36" i="5"/>
  <c r="P38" i="5"/>
  <c r="Q38" i="5"/>
  <c r="Q39" i="5" l="1"/>
  <c r="P39" i="5"/>
  <c r="T35" i="5"/>
  <c r="S35" i="5"/>
  <c r="H39" i="5"/>
  <c r="J39" i="5" s="1"/>
  <c r="L39" i="5" s="1"/>
  <c r="H38" i="5"/>
  <c r="H37" i="5"/>
  <c r="J37" i="5" s="1"/>
  <c r="L37" i="5" s="1"/>
  <c r="H36" i="5"/>
  <c r="J38" i="5" l="1"/>
  <c r="L38" i="5" s="1"/>
  <c r="U38" i="5" s="1"/>
  <c r="J36" i="5"/>
  <c r="N36" i="5" s="1"/>
  <c r="U37" i="5"/>
  <c r="U39" i="5"/>
  <c r="Q35" i="5"/>
  <c r="P35" i="5"/>
  <c r="N38" i="5" l="1"/>
  <c r="M38" i="5"/>
  <c r="L36" i="5"/>
  <c r="U36" i="5" s="1"/>
  <c r="M36" i="5"/>
  <c r="M37" i="5"/>
  <c r="N37" i="5"/>
  <c r="M39" i="5"/>
  <c r="N39" i="5"/>
  <c r="N35" i="5"/>
  <c r="M35" i="5"/>
  <c r="B14" i="6" l="1"/>
  <c r="C14" i="6"/>
  <c r="D14" i="6"/>
  <c r="F14" i="6"/>
  <c r="J14" i="6"/>
  <c r="K14" i="6"/>
  <c r="L14" i="6"/>
  <c r="M14" i="6"/>
  <c r="P14" i="6"/>
  <c r="Q14" i="6"/>
  <c r="R14" i="6"/>
  <c r="S14" i="6"/>
  <c r="V14" i="6"/>
  <c r="W14" i="6"/>
  <c r="X14" i="6"/>
  <c r="Y14" i="6"/>
  <c r="B15" i="6"/>
  <c r="C15" i="6"/>
  <c r="D15" i="6"/>
  <c r="F15" i="6"/>
  <c r="J15" i="6"/>
  <c r="K15" i="6"/>
  <c r="L15" i="6"/>
  <c r="M15" i="6"/>
  <c r="P15" i="6"/>
  <c r="Q15" i="6"/>
  <c r="R15" i="6"/>
  <c r="S15" i="6"/>
  <c r="V15" i="6"/>
  <c r="W15" i="6"/>
  <c r="X15" i="6"/>
  <c r="Y15" i="6"/>
  <c r="B16" i="6"/>
  <c r="C16" i="6"/>
  <c r="D16" i="6"/>
  <c r="F16" i="6"/>
  <c r="J16" i="6"/>
  <c r="K16" i="6"/>
  <c r="L16" i="6"/>
  <c r="M16" i="6"/>
  <c r="P16" i="6"/>
  <c r="Q16" i="6"/>
  <c r="R16" i="6"/>
  <c r="S16" i="6"/>
  <c r="V16" i="6"/>
  <c r="W16" i="6"/>
  <c r="X16" i="6"/>
  <c r="Y16" i="6"/>
  <c r="B17" i="6"/>
  <c r="C17" i="6"/>
  <c r="D17" i="6"/>
  <c r="F17" i="6"/>
  <c r="J17" i="6"/>
  <c r="K17" i="6"/>
  <c r="L17" i="6"/>
  <c r="M17" i="6"/>
  <c r="P17" i="6"/>
  <c r="Q17" i="6"/>
  <c r="R17" i="6"/>
  <c r="S17" i="6"/>
  <c r="V17" i="6"/>
  <c r="W17" i="6"/>
  <c r="X17" i="6"/>
  <c r="Y17" i="6"/>
  <c r="B18" i="6"/>
  <c r="C18" i="6"/>
  <c r="D18" i="6"/>
  <c r="F18" i="6"/>
  <c r="J18" i="6"/>
  <c r="K18" i="6"/>
  <c r="L18" i="6"/>
  <c r="M18" i="6"/>
  <c r="P18" i="6"/>
  <c r="Q18" i="6"/>
  <c r="R18" i="6"/>
  <c r="S18" i="6"/>
  <c r="V18" i="6"/>
  <c r="W18" i="6"/>
  <c r="X18" i="6"/>
  <c r="Y18" i="6"/>
  <c r="B19" i="6"/>
  <c r="C19" i="6"/>
  <c r="D19" i="6"/>
  <c r="F19" i="6"/>
  <c r="J19" i="6"/>
  <c r="K19" i="6"/>
  <c r="L19" i="6"/>
  <c r="M19" i="6"/>
  <c r="P19" i="6"/>
  <c r="Q19" i="6"/>
  <c r="R19" i="6"/>
  <c r="S19" i="6"/>
  <c r="V19" i="6"/>
  <c r="W19" i="6"/>
  <c r="X19" i="6"/>
  <c r="Y19" i="6"/>
  <c r="B20" i="6"/>
  <c r="C20" i="6"/>
  <c r="D20" i="6"/>
  <c r="F20" i="6"/>
  <c r="J20" i="6"/>
  <c r="K20" i="6"/>
  <c r="L20" i="6"/>
  <c r="M20" i="6"/>
  <c r="P20" i="6"/>
  <c r="Q20" i="6"/>
  <c r="R20" i="6"/>
  <c r="S20" i="6"/>
  <c r="V20" i="6"/>
  <c r="W20" i="6"/>
  <c r="X20" i="6"/>
  <c r="Y20" i="6"/>
  <c r="B21" i="6"/>
  <c r="C21" i="6"/>
  <c r="D21" i="6"/>
  <c r="F21" i="6"/>
  <c r="J21" i="6"/>
  <c r="K21" i="6"/>
  <c r="L21" i="6"/>
  <c r="M21" i="6"/>
  <c r="P21" i="6"/>
  <c r="Q21" i="6"/>
  <c r="R21" i="6"/>
  <c r="S21" i="6"/>
  <c r="V21" i="6"/>
  <c r="W21" i="6"/>
  <c r="X21" i="6"/>
  <c r="Y21" i="6"/>
  <c r="B22" i="6"/>
  <c r="C22" i="6"/>
  <c r="D22" i="6"/>
  <c r="F22" i="6"/>
  <c r="J22" i="6"/>
  <c r="K22" i="6"/>
  <c r="L22" i="6"/>
  <c r="M22" i="6"/>
  <c r="P22" i="6"/>
  <c r="Q22" i="6"/>
  <c r="R22" i="6"/>
  <c r="S22" i="6"/>
  <c r="V22" i="6"/>
  <c r="W22" i="6"/>
  <c r="X22" i="6"/>
  <c r="Y22" i="6"/>
  <c r="B23" i="6"/>
  <c r="C23" i="6"/>
  <c r="D23" i="6"/>
  <c r="F23" i="6"/>
  <c r="J23" i="6"/>
  <c r="K23" i="6"/>
  <c r="L23" i="6"/>
  <c r="M23" i="6"/>
  <c r="P23" i="6"/>
  <c r="Q23" i="6"/>
  <c r="R23" i="6"/>
  <c r="S23" i="6"/>
  <c r="V23" i="6"/>
  <c r="W23" i="6"/>
  <c r="X23" i="6"/>
  <c r="Y23" i="6"/>
  <c r="B24" i="6"/>
  <c r="C24" i="6"/>
  <c r="D24" i="6"/>
  <c r="F24" i="6"/>
  <c r="J24" i="6"/>
  <c r="K24" i="6"/>
  <c r="L24" i="6"/>
  <c r="M24" i="6"/>
  <c r="P24" i="6"/>
  <c r="Q24" i="6"/>
  <c r="R24" i="6"/>
  <c r="S24" i="6"/>
  <c r="V24" i="6"/>
  <c r="W24" i="6"/>
  <c r="X24" i="6"/>
  <c r="Y24" i="6"/>
  <c r="B25" i="6"/>
  <c r="C25" i="6"/>
  <c r="D25" i="6"/>
  <c r="F25" i="6"/>
  <c r="J25" i="6"/>
  <c r="K25" i="6"/>
  <c r="L25" i="6"/>
  <c r="M25" i="6"/>
  <c r="P25" i="6"/>
  <c r="Q25" i="6"/>
  <c r="R25" i="6"/>
  <c r="S25" i="6"/>
  <c r="V25" i="6"/>
  <c r="W25" i="6"/>
  <c r="X25" i="6"/>
  <c r="Y25" i="6"/>
  <c r="B26" i="6"/>
  <c r="C26" i="6"/>
  <c r="D26" i="6"/>
  <c r="F26" i="6"/>
  <c r="J26" i="6"/>
  <c r="K26" i="6"/>
  <c r="L26" i="6"/>
  <c r="M26" i="6"/>
  <c r="P26" i="6"/>
  <c r="Q26" i="6"/>
  <c r="R26" i="6"/>
  <c r="S26" i="6"/>
  <c r="V26" i="6"/>
  <c r="W26" i="6"/>
  <c r="X26" i="6"/>
  <c r="Y26" i="6"/>
  <c r="X13" i="6"/>
  <c r="W13" i="6"/>
  <c r="V13" i="6"/>
  <c r="R13" i="6"/>
  <c r="Q13" i="6"/>
  <c r="P13" i="6"/>
  <c r="M13" i="6"/>
  <c r="L13" i="6"/>
  <c r="K13" i="6"/>
  <c r="J13" i="6"/>
  <c r="F13" i="6"/>
  <c r="D13" i="6"/>
  <c r="C13" i="6"/>
  <c r="B13" i="6"/>
  <c r="D14" i="2"/>
  <c r="E14" i="2"/>
  <c r="F14" i="2" s="1"/>
  <c r="I14" i="2"/>
  <c r="J14" i="2"/>
  <c r="H14" i="2"/>
  <c r="K14" i="2"/>
  <c r="D15" i="2"/>
  <c r="E15" i="2"/>
  <c r="F15" i="2" s="1"/>
  <c r="J15" i="2"/>
  <c r="H15" i="2"/>
  <c r="K15" i="2"/>
  <c r="D16" i="2"/>
  <c r="E16" i="2"/>
  <c r="F16" i="2" s="1"/>
  <c r="I16" i="2"/>
  <c r="J16" i="2"/>
  <c r="H16" i="2"/>
  <c r="K16" i="2"/>
  <c r="D17" i="2"/>
  <c r="E17" i="2"/>
  <c r="I17" i="2"/>
  <c r="J17" i="2"/>
  <c r="H17" i="2"/>
  <c r="K17" i="2"/>
  <c r="B18" i="2"/>
  <c r="C18" i="2"/>
  <c r="D18" i="2"/>
  <c r="E18" i="2"/>
  <c r="G18" i="2" s="1"/>
  <c r="I18" i="2"/>
  <c r="J18" i="2"/>
  <c r="K18" i="2"/>
  <c r="O18" i="2"/>
  <c r="P18" i="2"/>
  <c r="Q18" i="2"/>
  <c r="U18" i="2"/>
  <c r="V18" i="2"/>
  <c r="W18" i="2"/>
  <c r="B19" i="2"/>
  <c r="C19" i="2"/>
  <c r="D19" i="2"/>
  <c r="E19" i="2"/>
  <c r="F19" i="2" s="1"/>
  <c r="I19" i="2"/>
  <c r="J19" i="2"/>
  <c r="K19" i="2"/>
  <c r="O19" i="2"/>
  <c r="P19" i="2"/>
  <c r="Q19" i="2"/>
  <c r="U19" i="2"/>
  <c r="V19" i="2"/>
  <c r="W19" i="2"/>
  <c r="B20" i="2"/>
  <c r="C20" i="2"/>
  <c r="D20" i="2"/>
  <c r="E20" i="2"/>
  <c r="I20" i="2"/>
  <c r="J20" i="2"/>
  <c r="K20" i="2"/>
  <c r="O20" i="2"/>
  <c r="P20" i="2"/>
  <c r="Q20" i="2"/>
  <c r="U20" i="2"/>
  <c r="V20" i="2"/>
  <c r="W20" i="2"/>
  <c r="B21" i="2"/>
  <c r="C21" i="2"/>
  <c r="D21" i="2"/>
  <c r="E21" i="2"/>
  <c r="I21" i="2"/>
  <c r="J21" i="2"/>
  <c r="K21" i="2"/>
  <c r="O21" i="2"/>
  <c r="P21" i="2"/>
  <c r="Q21" i="2"/>
  <c r="U21" i="2"/>
  <c r="V21" i="2"/>
  <c r="W21" i="2"/>
  <c r="B22" i="2"/>
  <c r="C22" i="2"/>
  <c r="D22" i="2"/>
  <c r="E22" i="2"/>
  <c r="F22" i="2" s="1"/>
  <c r="I22" i="2"/>
  <c r="J22" i="2"/>
  <c r="K22" i="2"/>
  <c r="O22" i="2"/>
  <c r="P22" i="2"/>
  <c r="Q22" i="2"/>
  <c r="U22" i="2"/>
  <c r="V22" i="2"/>
  <c r="W22" i="2"/>
  <c r="B23" i="2"/>
  <c r="C23" i="2"/>
  <c r="D23" i="2"/>
  <c r="E23" i="2"/>
  <c r="F23" i="2" s="1"/>
  <c r="I23" i="2"/>
  <c r="J23" i="2"/>
  <c r="K23" i="2"/>
  <c r="O23" i="2"/>
  <c r="P23" i="2"/>
  <c r="Q23" i="2"/>
  <c r="U23" i="2"/>
  <c r="V23" i="2"/>
  <c r="W23" i="2"/>
  <c r="B24" i="2"/>
  <c r="C24" i="2"/>
  <c r="D24" i="2"/>
  <c r="E24" i="2"/>
  <c r="F24" i="2" s="1"/>
  <c r="I24" i="2"/>
  <c r="J24" i="2"/>
  <c r="K24" i="2"/>
  <c r="O24" i="2"/>
  <c r="P24" i="2"/>
  <c r="Q24" i="2"/>
  <c r="U24" i="2"/>
  <c r="V24" i="2"/>
  <c r="W24" i="2"/>
  <c r="B25" i="2"/>
  <c r="C25" i="2"/>
  <c r="D25" i="2"/>
  <c r="E25" i="2"/>
  <c r="I25" i="2"/>
  <c r="J25" i="2"/>
  <c r="K25" i="2"/>
  <c r="O25" i="2"/>
  <c r="P25" i="2"/>
  <c r="Q25" i="2"/>
  <c r="U25" i="2"/>
  <c r="V25" i="2"/>
  <c r="W25" i="2"/>
  <c r="B26" i="2"/>
  <c r="C26" i="2"/>
  <c r="D26" i="2"/>
  <c r="E26" i="2"/>
  <c r="I26" i="2"/>
  <c r="J26" i="2"/>
  <c r="K26" i="2"/>
  <c r="O26" i="2"/>
  <c r="P26" i="2"/>
  <c r="Q26" i="2"/>
  <c r="U26" i="2"/>
  <c r="V26" i="2"/>
  <c r="W26" i="2"/>
  <c r="AO14" i="2"/>
  <c r="AP14" i="2"/>
  <c r="AQ14" i="2"/>
  <c r="AR14" i="2"/>
  <c r="AS14" i="2"/>
  <c r="AU14" i="2"/>
  <c r="AW14" i="2"/>
  <c r="AY14" i="2"/>
  <c r="BA14" i="2"/>
  <c r="AO15" i="2"/>
  <c r="AP15" i="2"/>
  <c r="AQ15" i="2"/>
  <c r="AR15" i="2"/>
  <c r="AS15" i="2"/>
  <c r="AU15" i="2"/>
  <c r="AW15" i="2"/>
  <c r="AY15" i="2"/>
  <c r="BA15" i="2"/>
  <c r="AO16" i="2"/>
  <c r="AP16" i="2"/>
  <c r="AQ16" i="2"/>
  <c r="AR16" i="2"/>
  <c r="AS16" i="2"/>
  <c r="AU16" i="2"/>
  <c r="AW16" i="2"/>
  <c r="AY16" i="2"/>
  <c r="BA16" i="2"/>
  <c r="AO17" i="2"/>
  <c r="AP17" i="2"/>
  <c r="AQ17" i="2"/>
  <c r="AR17" i="2"/>
  <c r="AS17" i="2"/>
  <c r="AU17" i="2"/>
  <c r="AW17" i="2"/>
  <c r="AY17" i="2"/>
  <c r="BA17" i="2"/>
  <c r="AO18" i="2"/>
  <c r="AP18" i="2"/>
  <c r="AQ18" i="2"/>
  <c r="AR18" i="2"/>
  <c r="AS18" i="2"/>
  <c r="AU18" i="2"/>
  <c r="AW18" i="2"/>
  <c r="AY18" i="2"/>
  <c r="BA18" i="2"/>
  <c r="AO19" i="2"/>
  <c r="AP19" i="2"/>
  <c r="AQ19" i="2"/>
  <c r="AR19" i="2"/>
  <c r="AS19" i="2"/>
  <c r="AU19" i="2"/>
  <c r="AW19" i="2"/>
  <c r="AY19" i="2"/>
  <c r="BA19" i="2"/>
  <c r="AO20" i="2"/>
  <c r="AP20" i="2"/>
  <c r="AQ20" i="2"/>
  <c r="AR20" i="2"/>
  <c r="AS20" i="2"/>
  <c r="AU20" i="2"/>
  <c r="AW20" i="2"/>
  <c r="AY20" i="2"/>
  <c r="BA20" i="2"/>
  <c r="AO21" i="2"/>
  <c r="AP21" i="2"/>
  <c r="AQ21" i="2"/>
  <c r="AR21" i="2"/>
  <c r="AS21" i="2"/>
  <c r="AU21" i="2"/>
  <c r="AW21" i="2"/>
  <c r="AY21" i="2"/>
  <c r="BA21" i="2"/>
  <c r="AO22" i="2"/>
  <c r="AP22" i="2"/>
  <c r="AQ22" i="2"/>
  <c r="AR22" i="2"/>
  <c r="AS22" i="2"/>
  <c r="AU22" i="2"/>
  <c r="AW22" i="2"/>
  <c r="AY22" i="2"/>
  <c r="BA22" i="2"/>
  <c r="AO23" i="2"/>
  <c r="AP23" i="2"/>
  <c r="AQ23" i="2"/>
  <c r="AR23" i="2"/>
  <c r="AS23" i="2"/>
  <c r="AU23" i="2"/>
  <c r="AW23" i="2"/>
  <c r="AY23" i="2"/>
  <c r="BA23" i="2"/>
  <c r="AO24" i="2"/>
  <c r="AP24" i="2"/>
  <c r="AQ24" i="2"/>
  <c r="AR24" i="2"/>
  <c r="AS24" i="2"/>
  <c r="AU24" i="2"/>
  <c r="AW24" i="2"/>
  <c r="AY24" i="2"/>
  <c r="BA24" i="2"/>
  <c r="AO25" i="2"/>
  <c r="AP25" i="2"/>
  <c r="AQ25" i="2"/>
  <c r="AR25" i="2"/>
  <c r="AS25" i="2"/>
  <c r="AU25" i="2"/>
  <c r="AW25" i="2"/>
  <c r="AY25" i="2"/>
  <c r="BA25" i="2"/>
  <c r="AO26" i="2"/>
  <c r="AP26" i="2"/>
  <c r="AQ26" i="2"/>
  <c r="AR26" i="2"/>
  <c r="AS26" i="2"/>
  <c r="AU26" i="2"/>
  <c r="AW26" i="2"/>
  <c r="AY26" i="2"/>
  <c r="BA26" i="2"/>
  <c r="Z25" i="6" l="1"/>
  <c r="AA25" i="6"/>
  <c r="AA22" i="6"/>
  <c r="Z22" i="6"/>
  <c r="Z21" i="6"/>
  <c r="AA21" i="6"/>
  <c r="Z20" i="6"/>
  <c r="AA20" i="6"/>
  <c r="AA18" i="6"/>
  <c r="Z18" i="6"/>
  <c r="X13" i="2"/>
  <c r="Y13" i="2"/>
  <c r="X26" i="2"/>
  <c r="Y26" i="2"/>
  <c r="Y25" i="2"/>
  <c r="X25" i="2"/>
  <c r="X24" i="2"/>
  <c r="Y24" i="2"/>
  <c r="X23" i="2"/>
  <c r="Y23" i="2"/>
  <c r="X22" i="2"/>
  <c r="Y22" i="2"/>
  <c r="Y21" i="2"/>
  <c r="X21" i="2"/>
  <c r="X20" i="2"/>
  <c r="Y20" i="2"/>
  <c r="X19" i="2"/>
  <c r="Y19" i="2"/>
  <c r="X18" i="2"/>
  <c r="Y18" i="2"/>
  <c r="AA24" i="6"/>
  <c r="Z24" i="6"/>
  <c r="Z19" i="6"/>
  <c r="AA19" i="6"/>
  <c r="U13" i="6"/>
  <c r="T13" i="6"/>
  <c r="T25" i="6"/>
  <c r="U25" i="6"/>
  <c r="T24" i="6"/>
  <c r="U24" i="6"/>
  <c r="T23" i="6"/>
  <c r="U23" i="6"/>
  <c r="T21" i="6"/>
  <c r="U21" i="6"/>
  <c r="T20" i="6"/>
  <c r="U20" i="6"/>
  <c r="T19" i="6"/>
  <c r="U19" i="6"/>
  <c r="U18" i="6"/>
  <c r="T18" i="6"/>
  <c r="AA26" i="6"/>
  <c r="Z26" i="6"/>
  <c r="Z23" i="6"/>
  <c r="AA23" i="6"/>
  <c r="R25" i="2"/>
  <c r="S25" i="2"/>
  <c r="S23" i="2"/>
  <c r="R23" i="2"/>
  <c r="R22" i="2"/>
  <c r="S22" i="2"/>
  <c r="S20" i="2"/>
  <c r="R20" i="2"/>
  <c r="R19" i="2"/>
  <c r="S19" i="2"/>
  <c r="R18" i="2"/>
  <c r="S18" i="2"/>
  <c r="T26" i="6"/>
  <c r="U26" i="6"/>
  <c r="T22" i="6"/>
  <c r="U22" i="6"/>
  <c r="R26" i="2"/>
  <c r="S26" i="2"/>
  <c r="S24" i="2"/>
  <c r="R24" i="2"/>
  <c r="R21" i="2"/>
  <c r="S21" i="2"/>
  <c r="AA13" i="6"/>
  <c r="Z13" i="6"/>
  <c r="X17" i="2"/>
  <c r="Y17" i="2"/>
  <c r="X15" i="2"/>
  <c r="Y15" i="2"/>
  <c r="X14" i="2"/>
  <c r="Y14" i="2"/>
  <c r="X16" i="2"/>
  <c r="Y16" i="2"/>
  <c r="T17" i="6"/>
  <c r="U17" i="6"/>
  <c r="T16" i="6"/>
  <c r="U16" i="6"/>
  <c r="T15" i="6"/>
  <c r="U15" i="6"/>
  <c r="T14" i="6"/>
  <c r="U14" i="6"/>
  <c r="Z16" i="6"/>
  <c r="AA16" i="6"/>
  <c r="Z15" i="6"/>
  <c r="AA15" i="6"/>
  <c r="AA17" i="6"/>
  <c r="Z17" i="6"/>
  <c r="Z14" i="6"/>
  <c r="AA14" i="6"/>
  <c r="F13" i="2"/>
  <c r="O16" i="6"/>
  <c r="G13" i="2"/>
  <c r="N21" i="6"/>
  <c r="F20" i="2"/>
  <c r="G19" i="2"/>
  <c r="AP13" i="6"/>
  <c r="AP21" i="6"/>
  <c r="AP18" i="6"/>
  <c r="AP14" i="6"/>
  <c r="AG18" i="6"/>
  <c r="L18" i="2"/>
  <c r="L16" i="2"/>
  <c r="L14" i="2"/>
  <c r="N26" i="6"/>
  <c r="O24" i="6"/>
  <c r="AC24" i="6" s="1"/>
  <c r="N22" i="6"/>
  <c r="G22" i="2"/>
  <c r="AC19" i="2"/>
  <c r="N18" i="6"/>
  <c r="N17" i="6"/>
  <c r="AP16" i="6"/>
  <c r="AB14" i="2"/>
  <c r="AG26" i="6"/>
  <c r="AG21" i="6"/>
  <c r="AC26" i="2"/>
  <c r="AI24" i="2"/>
  <c r="AG25" i="6"/>
  <c r="N24" i="6"/>
  <c r="O21" i="6"/>
  <c r="AC21" i="6" s="1"/>
  <c r="AC20" i="2"/>
  <c r="AG13" i="6"/>
  <c r="L26" i="2"/>
  <c r="G14" i="2"/>
  <c r="AG22" i="6"/>
  <c r="AC16" i="2"/>
  <c r="N16" i="6"/>
  <c r="M25" i="2"/>
  <c r="Z25" i="2" s="1"/>
  <c r="M22" i="2"/>
  <c r="Z22" i="2" s="1"/>
  <c r="AP24" i="6"/>
  <c r="O19" i="6"/>
  <c r="AC19" i="6" s="1"/>
  <c r="AG14" i="6"/>
  <c r="AP25" i="6"/>
  <c r="AG24" i="6"/>
  <c r="L13" i="2"/>
  <c r="AH24" i="2"/>
  <c r="AG22" i="2"/>
  <c r="M14" i="2"/>
  <c r="N19" i="6"/>
  <c r="N15" i="6"/>
  <c r="M26" i="2"/>
  <c r="Z26" i="2" s="1"/>
  <c r="G15" i="2"/>
  <c r="N25" i="6"/>
  <c r="AG16" i="6"/>
  <c r="N14" i="6"/>
  <c r="N23" i="6"/>
  <c r="O23" i="6"/>
  <c r="AC23" i="6" s="1"/>
  <c r="AL16" i="2"/>
  <c r="AP26" i="6"/>
  <c r="AP22" i="6"/>
  <c r="AP19" i="6"/>
  <c r="AF17" i="2"/>
  <c r="AL14" i="2"/>
  <c r="AL13" i="2"/>
  <c r="AG23" i="6"/>
  <c r="AP23" i="6"/>
  <c r="AP17" i="6"/>
  <c r="AP20" i="6"/>
  <c r="AG20" i="6"/>
  <c r="O20" i="6"/>
  <c r="AC20" i="6" s="1"/>
  <c r="AD13" i="2"/>
  <c r="AG15" i="6"/>
  <c r="O15" i="6"/>
  <c r="AP15" i="6"/>
  <c r="AD15" i="2"/>
  <c r="L15" i="2"/>
  <c r="N20" i="6"/>
  <c r="O26" i="6"/>
  <c r="AC26" i="6" s="1"/>
  <c r="O18" i="6"/>
  <c r="AC18" i="6" s="1"/>
  <c r="AG19" i="6"/>
  <c r="AG17" i="6"/>
  <c r="O22" i="6"/>
  <c r="AC22" i="6" s="1"/>
  <c r="O14" i="6"/>
  <c r="O25" i="6"/>
  <c r="AC25" i="6" s="1"/>
  <c r="O17" i="6"/>
  <c r="AL26" i="2"/>
  <c r="G23" i="2"/>
  <c r="L21" i="2"/>
  <c r="AI16" i="2"/>
  <c r="AH20" i="2"/>
  <c r="AL24" i="2"/>
  <c r="AH16" i="2"/>
  <c r="AF25" i="2"/>
  <c r="AD24" i="2"/>
  <c r="AG23" i="2"/>
  <c r="AL22" i="2"/>
  <c r="L22" i="2"/>
  <c r="AF21" i="2"/>
  <c r="AL19" i="2"/>
  <c r="AG16" i="2"/>
  <c r="AL21" i="2"/>
  <c r="AJ21" i="2"/>
  <c r="AG18" i="2"/>
  <c r="AA24" i="2"/>
  <c r="AC18" i="2"/>
  <c r="AG20" i="2"/>
  <c r="AD23" i="2"/>
  <c r="AE20" i="2"/>
  <c r="G26" i="2"/>
  <c r="AA25" i="2"/>
  <c r="L25" i="2"/>
  <c r="AB22" i="2"/>
  <c r="L20" i="2"/>
  <c r="L19" i="2"/>
  <c r="AL18" i="2"/>
  <c r="AL17" i="2"/>
  <c r="AC14" i="2"/>
  <c r="AD20" i="2"/>
  <c r="AG14" i="2"/>
  <c r="AL20" i="2"/>
  <c r="AF26" i="2"/>
  <c r="F26" i="2"/>
  <c r="L24" i="2"/>
  <c r="L23" i="2"/>
  <c r="M18" i="2"/>
  <c r="Z18" i="2" s="1"/>
  <c r="AL15" i="2"/>
  <c r="AC24" i="2"/>
  <c r="AB21" i="2"/>
  <c r="AA16" i="2"/>
  <c r="AB25" i="2"/>
  <c r="AL25" i="2"/>
  <c r="AC22" i="2"/>
  <c r="M21" i="2"/>
  <c r="Z21" i="2" s="1"/>
  <c r="AG24" i="2"/>
  <c r="AH19" i="2"/>
  <c r="M13" i="2"/>
  <c r="AG26" i="2"/>
  <c r="AD16" i="2"/>
  <c r="AG15" i="2"/>
  <c r="AE21" i="2"/>
  <c r="AF18" i="2"/>
  <c r="F18" i="2"/>
  <c r="L17" i="2"/>
  <c r="AB17" i="2"/>
  <c r="AA17" i="2"/>
  <c r="M17" i="2"/>
  <c r="AE25" i="2"/>
  <c r="AJ18" i="2"/>
  <c r="AC15" i="2"/>
  <c r="AE26" i="2"/>
  <c r="AH25" i="2"/>
  <c r="AF23" i="2"/>
  <c r="AI22" i="2"/>
  <c r="AA22" i="2"/>
  <c r="AD21" i="2"/>
  <c r="AJ19" i="2"/>
  <c r="AB19" i="2"/>
  <c r="AE18" i="2"/>
  <c r="AH17" i="2"/>
  <c r="AF15" i="2"/>
  <c r="AI14" i="2"/>
  <c r="AA14" i="2"/>
  <c r="G25" i="2"/>
  <c r="M24" i="2"/>
  <c r="Z24" i="2" s="1"/>
  <c r="G21" i="2"/>
  <c r="M20" i="2"/>
  <c r="Z20" i="2" s="1"/>
  <c r="G17" i="2"/>
  <c r="M16" i="2"/>
  <c r="AD26" i="2"/>
  <c r="AG25" i="2"/>
  <c r="AJ24" i="2"/>
  <c r="AB24" i="2"/>
  <c r="AE23" i="2"/>
  <c r="AH22" i="2"/>
  <c r="AC21" i="2"/>
  <c r="AF20" i="2"/>
  <c r="AI19" i="2"/>
  <c r="AA19" i="2"/>
  <c r="AD18" i="2"/>
  <c r="AG17" i="2"/>
  <c r="AJ16" i="2"/>
  <c r="AB16" i="2"/>
  <c r="AE15" i="2"/>
  <c r="AH14" i="2"/>
  <c r="AL23" i="2"/>
  <c r="F25" i="2"/>
  <c r="F21" i="2"/>
  <c r="F17" i="2"/>
  <c r="AJ26" i="2"/>
  <c r="AB26" i="2"/>
  <c r="AC23" i="2"/>
  <c r="AF22" i="2"/>
  <c r="AG19" i="2"/>
  <c r="AE17" i="2"/>
  <c r="AA26" i="2"/>
  <c r="AB23" i="2"/>
  <c r="AE22" i="2"/>
  <c r="AH21" i="2"/>
  <c r="AF19" i="2"/>
  <c r="AI18" i="2"/>
  <c r="AB15" i="2"/>
  <c r="AE14" i="2"/>
  <c r="AH26" i="2"/>
  <c r="AC25" i="2"/>
  <c r="AF24" i="2"/>
  <c r="AI23" i="2"/>
  <c r="AA23" i="2"/>
  <c r="AD22" i="2"/>
  <c r="AG21" i="2"/>
  <c r="AJ20" i="2"/>
  <c r="AB20" i="2"/>
  <c r="AE19" i="2"/>
  <c r="AH18" i="2"/>
  <c r="AC17" i="2"/>
  <c r="AF16" i="2"/>
  <c r="AI15" i="2"/>
  <c r="AA15" i="2"/>
  <c r="AD14" i="2"/>
  <c r="AA21" i="2"/>
  <c r="AB18" i="2"/>
  <c r="AF14" i="2"/>
  <c r="AJ25" i="2"/>
  <c r="AE24" i="2"/>
  <c r="AH23" i="2"/>
  <c r="AI20" i="2"/>
  <c r="AA20" i="2"/>
  <c r="AD19" i="2"/>
  <c r="AJ17" i="2"/>
  <c r="AE16" i="2"/>
  <c r="AH15" i="2"/>
  <c r="G24" i="2"/>
  <c r="M23" i="2"/>
  <c r="Z23" i="2" s="1"/>
  <c r="G20" i="2"/>
  <c r="M19" i="2"/>
  <c r="Z19" i="2" s="1"/>
  <c r="G16" i="2"/>
  <c r="M15" i="2"/>
  <c r="AI21" i="2"/>
  <c r="AI26" i="2"/>
  <c r="AD25" i="2"/>
  <c r="AJ23" i="2"/>
  <c r="AA18" i="2"/>
  <c r="AD17" i="2"/>
  <c r="AJ15" i="2"/>
  <c r="AI25" i="2"/>
  <c r="AJ22" i="2"/>
  <c r="AI17" i="2"/>
  <c r="AJ14" i="2"/>
  <c r="Z13" i="2" l="1"/>
  <c r="AC14" i="6"/>
  <c r="AC16" i="6"/>
  <c r="Z16" i="2"/>
  <c r="AC17" i="6"/>
  <c r="Z14" i="2"/>
  <c r="Z17" i="2"/>
  <c r="AC15" i="6"/>
  <c r="Z15" i="2"/>
  <c r="AK17" i="2"/>
  <c r="AK16" i="2"/>
  <c r="AK14" i="2"/>
  <c r="AK19" i="2"/>
  <c r="AK21" i="2"/>
  <c r="AK18" i="2"/>
  <c r="AK23" i="2"/>
  <c r="AK20" i="2"/>
  <c r="AK26" i="2"/>
  <c r="AK25" i="2"/>
  <c r="AK22" i="2"/>
  <c r="AK15" i="2"/>
  <c r="AK24" i="2"/>
  <c r="O13" i="6" l="1"/>
  <c r="N13" i="6"/>
  <c r="BI18" i="6"/>
  <c r="BI19" i="6"/>
  <c r="BI22" i="6"/>
  <c r="BI24" i="6"/>
  <c r="BI26" i="6"/>
  <c r="AD14" i="6"/>
  <c r="AE14" i="6"/>
  <c r="AF14" i="6"/>
  <c r="AI14" i="6"/>
  <c r="AJ14" i="6"/>
  <c r="AK14" i="6"/>
  <c r="AL14" i="6"/>
  <c r="AM14" i="6"/>
  <c r="AN14" i="6"/>
  <c r="AU14" i="6"/>
  <c r="BB14" i="6"/>
  <c r="AD15" i="6"/>
  <c r="AE15" i="6"/>
  <c r="AF15" i="6"/>
  <c r="AI15" i="6"/>
  <c r="AJ15" i="6"/>
  <c r="AK15" i="6"/>
  <c r="AL15" i="6"/>
  <c r="AM15" i="6"/>
  <c r="AN15" i="6"/>
  <c r="AU15" i="6"/>
  <c r="BB15" i="6"/>
  <c r="AD16" i="6"/>
  <c r="AE16" i="6"/>
  <c r="AF16" i="6"/>
  <c r="AI16" i="6"/>
  <c r="AJ16" i="6"/>
  <c r="AK16" i="6"/>
  <c r="AL16" i="6"/>
  <c r="AM16" i="6"/>
  <c r="AN16" i="6"/>
  <c r="AU16" i="6"/>
  <c r="BB16" i="6"/>
  <c r="AD17" i="6"/>
  <c r="AE17" i="6"/>
  <c r="AF17" i="6"/>
  <c r="AI17" i="6"/>
  <c r="AJ17" i="6"/>
  <c r="AK17" i="6"/>
  <c r="AL17" i="6"/>
  <c r="AM17" i="6"/>
  <c r="AN17" i="6"/>
  <c r="AU17" i="6"/>
  <c r="BB17" i="6"/>
  <c r="AD18" i="6"/>
  <c r="AE18" i="6"/>
  <c r="AF18" i="6"/>
  <c r="AI18" i="6"/>
  <c r="AJ18" i="6"/>
  <c r="AK18" i="6"/>
  <c r="AL18" i="6"/>
  <c r="AM18" i="6"/>
  <c r="AN18" i="6"/>
  <c r="AU18" i="6"/>
  <c r="BB18" i="6"/>
  <c r="AD19" i="6"/>
  <c r="AE19" i="6"/>
  <c r="AF19" i="6"/>
  <c r="AI19" i="6"/>
  <c r="AJ19" i="6"/>
  <c r="AK19" i="6"/>
  <c r="AL19" i="6"/>
  <c r="AM19" i="6"/>
  <c r="AN19" i="6"/>
  <c r="AU19" i="6"/>
  <c r="BB19" i="6"/>
  <c r="AD20" i="6"/>
  <c r="AE20" i="6"/>
  <c r="AF20" i="6"/>
  <c r="AI20" i="6"/>
  <c r="AJ20" i="6"/>
  <c r="AK20" i="6"/>
  <c r="AL20" i="6"/>
  <c r="AM20" i="6"/>
  <c r="AN20" i="6"/>
  <c r="AU20" i="6"/>
  <c r="BB20" i="6"/>
  <c r="AD21" i="6"/>
  <c r="AE21" i="6"/>
  <c r="AF21" i="6"/>
  <c r="AI21" i="6"/>
  <c r="AJ21" i="6"/>
  <c r="AK21" i="6"/>
  <c r="AL21" i="6"/>
  <c r="AM21" i="6"/>
  <c r="AN21" i="6"/>
  <c r="AU21" i="6"/>
  <c r="BB21" i="6"/>
  <c r="AD22" i="6"/>
  <c r="AE22" i="6"/>
  <c r="AF22" i="6"/>
  <c r="AI22" i="6"/>
  <c r="AJ22" i="6"/>
  <c r="AK22" i="6"/>
  <c r="AL22" i="6"/>
  <c r="AM22" i="6"/>
  <c r="AN22" i="6"/>
  <c r="AU22" i="6"/>
  <c r="BB22" i="6"/>
  <c r="AD23" i="6"/>
  <c r="AE23" i="6"/>
  <c r="AF23" i="6"/>
  <c r="AI23" i="6"/>
  <c r="AJ23" i="6"/>
  <c r="AK23" i="6"/>
  <c r="AL23" i="6"/>
  <c r="AM23" i="6"/>
  <c r="AN23" i="6"/>
  <c r="AU23" i="6"/>
  <c r="BB23" i="6"/>
  <c r="AD24" i="6"/>
  <c r="AE24" i="6"/>
  <c r="AF24" i="6"/>
  <c r="AI24" i="6"/>
  <c r="AJ24" i="6"/>
  <c r="AK24" i="6"/>
  <c r="AL24" i="6"/>
  <c r="AM24" i="6"/>
  <c r="AN24" i="6"/>
  <c r="AU24" i="6"/>
  <c r="BB24" i="6"/>
  <c r="AD25" i="6"/>
  <c r="AE25" i="6"/>
  <c r="AF25" i="6"/>
  <c r="AI25" i="6"/>
  <c r="AJ25" i="6"/>
  <c r="AK25" i="6"/>
  <c r="AL25" i="6"/>
  <c r="AM25" i="6"/>
  <c r="AN25" i="6"/>
  <c r="AU25" i="6"/>
  <c r="BB25" i="6"/>
  <c r="AD26" i="6"/>
  <c r="AE26" i="6"/>
  <c r="AF26" i="6"/>
  <c r="AI26" i="6"/>
  <c r="AJ26" i="6"/>
  <c r="AK26" i="6"/>
  <c r="AL26" i="6"/>
  <c r="AM26" i="6"/>
  <c r="AN26" i="6"/>
  <c r="AU26" i="6"/>
  <c r="BB26" i="6"/>
  <c r="AU13" i="6"/>
  <c r="AV25" i="6" s="1"/>
  <c r="BB13" i="6"/>
  <c r="AC13" i="6" l="1"/>
  <c r="AV13" i="6"/>
  <c r="AV19" i="6"/>
  <c r="AV20" i="6"/>
  <c r="AY23" i="6"/>
  <c r="BC23" i="6" s="1"/>
  <c r="AY14" i="6"/>
  <c r="BC14" i="6" s="1"/>
  <c r="AV16" i="6"/>
  <c r="AY26" i="6"/>
  <c r="BC26" i="6" s="1"/>
  <c r="AY19" i="6"/>
  <c r="BC19" i="6" s="1"/>
  <c r="AY20" i="6"/>
  <c r="BC20" i="6" s="1"/>
  <c r="AV21" i="6"/>
  <c r="AY15" i="6"/>
  <c r="BC15" i="6" s="1"/>
  <c r="AY24" i="6"/>
  <c r="BC24" i="6" s="1"/>
  <c r="AY18" i="6"/>
  <c r="BC18" i="6" s="1"/>
  <c r="AV15" i="6"/>
  <c r="AV24" i="6"/>
  <c r="AV18" i="6"/>
  <c r="AB19" i="6"/>
  <c r="AB24" i="6"/>
  <c r="AB22" i="6"/>
  <c r="AB18" i="6"/>
  <c r="AB26" i="6"/>
  <c r="AB25" i="6"/>
  <c r="AB21" i="6"/>
  <c r="AB17" i="6"/>
  <c r="I17" i="6" s="1"/>
  <c r="AB20" i="6"/>
  <c r="AV23" i="6"/>
  <c r="AY22" i="6"/>
  <c r="BC22" i="6" s="1"/>
  <c r="AY17" i="6"/>
  <c r="BC17" i="6" s="1"/>
  <c r="AV14" i="6"/>
  <c r="AV22" i="6"/>
  <c r="AY21" i="6"/>
  <c r="BC21" i="6" s="1"/>
  <c r="AV17" i="6"/>
  <c r="AV26" i="6"/>
  <c r="AY25" i="6"/>
  <c r="BC25" i="6" s="1"/>
  <c r="AY16" i="6"/>
  <c r="BC16" i="6" s="1"/>
  <c r="AB14" i="6"/>
  <c r="AO25" i="6"/>
  <c r="AO23" i="6"/>
  <c r="AB23" i="6"/>
  <c r="I23" i="6" s="1"/>
  <c r="AB15" i="6"/>
  <c r="AO26" i="6"/>
  <c r="AO22" i="6"/>
  <c r="AO18" i="6"/>
  <c r="AO14" i="6"/>
  <c r="AO24" i="6"/>
  <c r="AO20" i="6"/>
  <c r="AO16" i="6"/>
  <c r="AO21" i="6"/>
  <c r="AO19" i="6"/>
  <c r="AO17" i="6"/>
  <c r="AO15" i="6"/>
  <c r="AB16" i="6"/>
  <c r="AY13" i="6"/>
  <c r="AM13" i="6"/>
  <c r="AK13" i="6"/>
  <c r="AJ13" i="6"/>
  <c r="AI13" i="6"/>
  <c r="AF13" i="6"/>
  <c r="AN13" i="6"/>
  <c r="AL13" i="6"/>
  <c r="AE13" i="6"/>
  <c r="AD13" i="6"/>
  <c r="AI13" i="2"/>
  <c r="AG13" i="2"/>
  <c r="AE13" i="2"/>
  <c r="AC13" i="2"/>
  <c r="AA13" i="2"/>
  <c r="BA13" i="2"/>
  <c r="AY13" i="2"/>
  <c r="AW13" i="2"/>
  <c r="AU13" i="2"/>
  <c r="AS13" i="2"/>
  <c r="AR13" i="2"/>
  <c r="AQ13" i="2"/>
  <c r="AP13" i="2"/>
  <c r="AO13" i="2"/>
  <c r="I16" i="6" l="1"/>
  <c r="AH16" i="6" s="1"/>
  <c r="I25" i="6"/>
  <c r="AH25" i="6" s="1"/>
  <c r="I26" i="6"/>
  <c r="AH26" i="6" s="1"/>
  <c r="I14" i="6"/>
  <c r="AH14" i="6" s="1"/>
  <c r="I22" i="6"/>
  <c r="AH22" i="6" s="1"/>
  <c r="I24" i="6"/>
  <c r="AH24" i="6" s="1"/>
  <c r="I19" i="6"/>
  <c r="AH19" i="6" s="1"/>
  <c r="I21" i="6"/>
  <c r="AH21" i="6" s="1"/>
  <c r="I18" i="6"/>
  <c r="AH18" i="6" s="1"/>
  <c r="I20" i="6"/>
  <c r="AH20" i="6" s="1"/>
  <c r="I15" i="6"/>
  <c r="AH15" i="6" s="1"/>
  <c r="AH17" i="6"/>
  <c r="AH23" i="6"/>
  <c r="AZ14" i="2"/>
  <c r="AZ18" i="2"/>
  <c r="AZ22" i="2"/>
  <c r="AZ26" i="2"/>
  <c r="AZ17" i="2"/>
  <c r="AZ23" i="2"/>
  <c r="AZ16" i="2"/>
  <c r="AZ24" i="2"/>
  <c r="AZ21" i="2"/>
  <c r="AZ15" i="2"/>
  <c r="AZ19" i="2"/>
  <c r="AZ20" i="2"/>
  <c r="AZ25" i="2"/>
  <c r="AX13" i="2"/>
  <c r="AX15" i="2"/>
  <c r="AX19" i="2"/>
  <c r="AX23" i="2"/>
  <c r="AX17" i="2"/>
  <c r="AX21" i="2"/>
  <c r="AX25" i="2"/>
  <c r="AX14" i="2"/>
  <c r="AX22" i="2"/>
  <c r="AX18" i="2"/>
  <c r="AX26" i="2"/>
  <c r="AX16" i="2"/>
  <c r="AX20" i="2"/>
  <c r="AX24" i="2"/>
  <c r="AT17" i="2"/>
  <c r="AT21" i="2"/>
  <c r="AT25" i="2"/>
  <c r="AT19" i="2"/>
  <c r="AT24" i="2"/>
  <c r="AT16" i="2"/>
  <c r="AT14" i="2"/>
  <c r="AT18" i="2"/>
  <c r="AT22" i="2"/>
  <c r="AT26" i="2"/>
  <c r="AT15" i="2"/>
  <c r="AT23" i="2"/>
  <c r="AT20" i="2"/>
  <c r="AV16" i="2"/>
  <c r="AV20" i="2"/>
  <c r="AV24" i="2"/>
  <c r="AV19" i="2"/>
  <c r="AV22" i="2"/>
  <c r="AV17" i="2"/>
  <c r="AV21" i="2"/>
  <c r="AV25" i="2"/>
  <c r="AV18" i="2"/>
  <c r="AV26" i="2"/>
  <c r="AV14" i="2"/>
  <c r="AV15" i="2"/>
  <c r="AV23" i="2"/>
  <c r="AX13" i="6"/>
  <c r="AX19" i="6"/>
  <c r="AX22" i="6"/>
  <c r="AX15" i="6"/>
  <c r="AX17" i="6"/>
  <c r="AX25" i="6"/>
  <c r="AX20" i="6"/>
  <c r="AX23" i="6"/>
  <c r="AX16" i="6"/>
  <c r="AX18" i="6"/>
  <c r="AX26" i="6"/>
  <c r="AX24" i="6"/>
  <c r="AX14" i="6"/>
  <c r="AX21" i="6"/>
  <c r="BC13" i="6"/>
  <c r="AB13" i="6"/>
  <c r="I13" i="6" s="1"/>
  <c r="AH13" i="6" s="1"/>
  <c r="AO13" i="6"/>
  <c r="AV13" i="2"/>
  <c r="AZ13" i="2"/>
  <c r="AT13" i="2"/>
  <c r="AH13" i="2"/>
  <c r="AF13" i="2"/>
  <c r="AQ21" i="6" l="1"/>
  <c r="AQ20" i="6"/>
  <c r="BI20" i="6" s="1"/>
  <c r="AQ13" i="6"/>
  <c r="AQ25" i="6"/>
  <c r="BI25" i="6" s="1"/>
  <c r="AQ26" i="6"/>
  <c r="AQ14" i="6"/>
  <c r="BI14" i="6" s="1"/>
  <c r="AQ16" i="6"/>
  <c r="BI16" i="6" s="1"/>
  <c r="AQ24" i="6"/>
  <c r="AQ18" i="6"/>
  <c r="AQ23" i="6"/>
  <c r="BI23" i="6" s="1"/>
  <c r="AQ19" i="6"/>
  <c r="AQ15" i="6"/>
  <c r="BI15" i="6" s="1"/>
  <c r="AQ17" i="6"/>
  <c r="BI17" i="6" s="1"/>
  <c r="AQ22" i="6"/>
  <c r="AM16" i="2"/>
  <c r="BC16" i="2" s="1"/>
  <c r="AM26" i="2"/>
  <c r="BC26" i="2" s="1"/>
  <c r="AM18" i="2"/>
  <c r="BC18" i="2" s="1"/>
  <c r="AM23" i="2"/>
  <c r="BC23" i="2" s="1"/>
  <c r="AM25" i="2"/>
  <c r="BC25" i="2" s="1"/>
  <c r="AM22" i="2"/>
  <c r="BC22" i="2" s="1"/>
  <c r="AM19" i="2"/>
  <c r="BC19" i="2" s="1"/>
  <c r="AM14" i="2"/>
  <c r="AM20" i="2"/>
  <c r="BC20" i="2" s="1"/>
  <c r="AM21" i="2"/>
  <c r="BC21" i="2" s="1"/>
  <c r="AM15" i="2"/>
  <c r="AM17" i="2"/>
  <c r="BC17" i="2" s="1"/>
  <c r="AD17" i="7" s="1"/>
  <c r="AM24" i="2"/>
  <c r="BC24" i="2" s="1"/>
  <c r="BI21" i="6"/>
  <c r="AD16" i="7" l="1"/>
  <c r="AE16" i="7" s="1"/>
  <c r="BC14" i="2"/>
  <c r="AD14" i="7" s="1"/>
  <c r="AE14" i="7" s="1"/>
  <c r="BC15" i="2"/>
  <c r="AD15" i="7" s="1"/>
  <c r="AE15" i="7" s="1"/>
  <c r="AE17" i="7"/>
  <c r="BI13" i="6"/>
  <c r="AB13" i="2"/>
  <c r="AJ13" i="2"/>
  <c r="AK13" i="2" l="1"/>
  <c r="AM13" i="2" l="1"/>
  <c r="BC13" i="2" l="1"/>
  <c r="AD13" i="7" s="1"/>
  <c r="AE13" i="7" s="1"/>
</calcChain>
</file>

<file path=xl/sharedStrings.xml><?xml version="1.0" encoding="utf-8"?>
<sst xmlns="http://schemas.openxmlformats.org/spreadsheetml/2006/main" count="280" uniqueCount="140">
  <si>
    <t>Mode</t>
  </si>
  <si>
    <t>Interval</t>
  </si>
  <si>
    <t>Amb</t>
  </si>
  <si>
    <t>4m cells</t>
  </si>
  <si>
    <t>DC1</t>
  </si>
  <si>
    <t>Column1</t>
  </si>
  <si>
    <t>Column2</t>
  </si>
  <si>
    <t>Column3</t>
  </si>
  <si>
    <t>Cell Size</t>
  </si>
  <si>
    <t>#Cells</t>
  </si>
  <si>
    <t>2m Cells</t>
  </si>
  <si>
    <t>1m Cells</t>
  </si>
  <si>
    <t>5m Cells</t>
  </si>
  <si>
    <t>min SD</t>
  </si>
  <si>
    <t>max SD</t>
  </si>
  <si>
    <t>Tot SD</t>
  </si>
  <si>
    <t>Current</t>
  </si>
  <si>
    <t>Col</t>
  </si>
  <si>
    <t>Tx</t>
  </si>
  <si>
    <t>Column0</t>
  </si>
  <si>
    <t>min tot SD</t>
  </si>
  <si>
    <t>Distance to first cell</t>
  </si>
  <si>
    <t>Number of pings</t>
  </si>
  <si>
    <t>Number of Cells</t>
  </si>
  <si>
    <t>Surface referenced</t>
  </si>
  <si>
    <t>Surface Cell</t>
  </si>
  <si>
    <t>0.5m Cells</t>
  </si>
  <si>
    <t>Tot 2m Cells</t>
  </si>
  <si>
    <t>Tx Offset</t>
  </si>
  <si>
    <t>Tx Slope</t>
  </si>
  <si>
    <t>Sample</t>
  </si>
  <si>
    <t>Cell05</t>
  </si>
  <si>
    <t>Cell1</t>
  </si>
  <si>
    <t>cell2</t>
  </si>
  <si>
    <t>cell3</t>
  </si>
  <si>
    <t>cell4</t>
  </si>
  <si>
    <t>3m Cells</t>
  </si>
  <si>
    <t>cell5</t>
  </si>
  <si>
    <t>0,5m Cells</t>
  </si>
  <si>
    <t>1,5m Cells</t>
  </si>
  <si>
    <t>2,5m Cells</t>
  </si>
  <si>
    <t>3,5m Cells</t>
  </si>
  <si>
    <t>4,5m Cells</t>
  </si>
  <si>
    <t>Cell15</t>
  </si>
  <si>
    <t>Cell25</t>
  </si>
  <si>
    <t>Cell1.5</t>
  </si>
  <si>
    <t>Cell2.5</t>
  </si>
  <si>
    <t>Cell3.5</t>
  </si>
  <si>
    <t>Cell4.5</t>
  </si>
  <si>
    <t>1.5m Cells</t>
  </si>
  <si>
    <t>2.5m Cells</t>
  </si>
  <si>
    <t>4.5m Cells</t>
  </si>
  <si>
    <t>3.5m Cells</t>
  </si>
  <si>
    <t>Cell5</t>
  </si>
  <si>
    <t>Cell4</t>
  </si>
  <si>
    <t>SumCell</t>
  </si>
  <si>
    <t>Tot_Sum</t>
  </si>
  <si>
    <t>Cell2m</t>
  </si>
  <si>
    <t>SurfaceCell</t>
  </si>
  <si>
    <t>TX</t>
  </si>
  <si>
    <t>Cell3</t>
  </si>
  <si>
    <t>Cell45</t>
  </si>
  <si>
    <t>Cell35</t>
  </si>
  <si>
    <t>Interval [min]</t>
  </si>
  <si>
    <t>Interval [Min]</t>
  </si>
  <si>
    <t>Depth [m]</t>
  </si>
  <si>
    <t>Distance to first cell [m]</t>
  </si>
  <si>
    <t>Dist First Cell</t>
  </si>
  <si>
    <t>True/False</t>
  </si>
  <si>
    <t>SeaguardII DCP Power Calculator</t>
  </si>
  <si>
    <t>Narrow Band Mode</t>
  </si>
  <si>
    <t>Configuration</t>
  </si>
  <si>
    <t>Common</t>
  </si>
  <si>
    <t>Yes</t>
  </si>
  <si>
    <t>No</t>
  </si>
  <si>
    <t>Battery</t>
  </si>
  <si>
    <t>Capacity</t>
  </si>
  <si>
    <t xml:space="preserve">Average </t>
  </si>
  <si>
    <t>Current Consumption</t>
  </si>
  <si>
    <t xml:space="preserve"> [mA]</t>
  </si>
  <si>
    <t>[Ah]</t>
  </si>
  <si>
    <t>[Days]</t>
  </si>
  <si>
    <t>Cell Size [m]</t>
  </si>
  <si>
    <t>Narrow Band</t>
  </si>
  <si>
    <t>Broad Band</t>
  </si>
  <si>
    <t>Broad Band Mode</t>
  </si>
  <si>
    <t>Oxygen</t>
  </si>
  <si>
    <t>Pressure</t>
  </si>
  <si>
    <t>Temperature</t>
  </si>
  <si>
    <t>Conductivity</t>
  </si>
  <si>
    <t>Average power consumption [mA]</t>
  </si>
  <si>
    <t>Additional sensors</t>
  </si>
  <si>
    <t>Frequency</t>
  </si>
  <si>
    <t>Number of Samples</t>
  </si>
  <si>
    <t>Tidal Average period</t>
  </si>
  <si>
    <t>2 Hz</t>
  </si>
  <si>
    <t>No wave!</t>
  </si>
  <si>
    <t>Wave Coefficient:</t>
  </si>
  <si>
    <t>4 Hz</t>
  </si>
  <si>
    <t>Tide Coefficients</t>
  </si>
  <si>
    <t>AiCaP mode</t>
  </si>
  <si>
    <t>1 min</t>
  </si>
  <si>
    <t>RS-232 mode</t>
  </si>
  <si>
    <t>2 min</t>
  </si>
  <si>
    <t>RS-422 mode</t>
  </si>
  <si>
    <t>3 min</t>
  </si>
  <si>
    <t>4 min</t>
  </si>
  <si>
    <t>T CURRENT DRAIN:</t>
  </si>
  <si>
    <t>5 min</t>
  </si>
  <si>
    <t>6 min</t>
  </si>
  <si>
    <t>7 min</t>
  </si>
  <si>
    <t>8 min</t>
  </si>
  <si>
    <t>P CURRENT DRAIN</t>
  </si>
  <si>
    <t>Wave &amp; Tide sensor</t>
  </si>
  <si>
    <t>Wave &amp; Tide</t>
  </si>
  <si>
    <t>Sampling frequency</t>
  </si>
  <si>
    <t>Tidal average period</t>
  </si>
  <si>
    <t>Waves number of samples</t>
  </si>
  <si>
    <t>B13</t>
  </si>
  <si>
    <t>B14</t>
  </si>
  <si>
    <t>B15</t>
  </si>
  <si>
    <t>B16</t>
  </si>
  <si>
    <t>B17</t>
  </si>
  <si>
    <t>Number of samples</t>
  </si>
  <si>
    <t>WT Current drain mA</t>
  </si>
  <si>
    <t>10s</t>
  </si>
  <si>
    <t>20s</t>
  </si>
  <si>
    <t>30s</t>
  </si>
  <si>
    <t>40s</t>
  </si>
  <si>
    <t>50s</t>
  </si>
  <si>
    <t>Average current drain</t>
  </si>
  <si>
    <r>
      <t>SeaGuard</t>
    </r>
    <r>
      <rPr>
        <sz val="20"/>
        <color theme="1"/>
        <rFont val="Times New Roman"/>
        <family val="1"/>
      </rPr>
      <t>II</t>
    </r>
    <r>
      <rPr>
        <sz val="20"/>
        <color theme="1"/>
        <rFont val="Calibri"/>
        <family val="2"/>
        <scheme val="minor"/>
      </rPr>
      <t xml:space="preserve"> DCP Power Calculator</t>
    </r>
  </si>
  <si>
    <t>[cm/s]</t>
  </si>
  <si>
    <t>Single Ping Standard Deviation</t>
  </si>
  <si>
    <t>Cellsize</t>
  </si>
  <si>
    <t>Average Current Consumption</t>
  </si>
  <si>
    <t>Deployment Time</t>
  </si>
  <si>
    <t>Velocity precision (horizontal)</t>
  </si>
  <si>
    <t>DCPS Configuration</t>
  </si>
  <si>
    <t>SeaGuardII Recorder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</si>
</sst>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Times New Roman"/>
      <family val="1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9" fillId="6" borderId="8" applyNumberFormat="0" applyAlignment="0" applyProtection="0"/>
    <xf numFmtId="0" fontId="10" fillId="7" borderId="16" applyNumberFormat="0" applyAlignment="0" applyProtection="0"/>
    <xf numFmtId="0" fontId="10" fillId="7" borderId="16"/>
  </cellStyleXfs>
  <cellXfs count="178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0" xfId="0" applyNumberFormat="1"/>
    <xf numFmtId="0" fontId="0" fillId="3" borderId="0" xfId="0" applyFill="1"/>
    <xf numFmtId="0" fontId="5" fillId="3" borderId="0" xfId="0" applyFont="1" applyFill="1" applyAlignment="1"/>
    <xf numFmtId="0" fontId="0" fillId="0" borderId="0" xfId="0" applyProtection="1">
      <protection locked="0"/>
    </xf>
    <xf numFmtId="0" fontId="7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/>
    </xf>
    <xf numFmtId="0" fontId="0" fillId="3" borderId="0" xfId="0" applyFont="1" applyFill="1"/>
    <xf numFmtId="0" fontId="0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49" fontId="0" fillId="4" borderId="1" xfId="0" applyNumberFormat="1" applyFill="1" applyBorder="1" applyAlignment="1">
      <alignment horizontal="center" vertical="center" wrapText="1"/>
    </xf>
    <xf numFmtId="0" fontId="1" fillId="2" borderId="0" xfId="1"/>
    <xf numFmtId="0" fontId="1" fillId="2" borderId="0" xfId="1" applyAlignment="1"/>
    <xf numFmtId="49" fontId="1" fillId="2" borderId="1" xfId="1" applyNumberFormat="1" applyBorder="1" applyAlignment="1">
      <alignment horizontal="center" vertical="center" wrapText="1"/>
    </xf>
    <xf numFmtId="0" fontId="1" fillId="2" borderId="1" xfId="1" applyBorder="1" applyAlignment="1">
      <alignment horizontal="center"/>
    </xf>
    <xf numFmtId="0" fontId="1" fillId="2" borderId="0" xfId="1" applyAlignment="1">
      <alignment horizontal="center"/>
    </xf>
    <xf numFmtId="0" fontId="1" fillId="2" borderId="4" xfId="1" applyBorder="1" applyAlignment="1"/>
    <xf numFmtId="0" fontId="1" fillId="2" borderId="4" xfId="1" applyBorder="1" applyAlignment="1">
      <alignment horizontal="center"/>
    </xf>
    <xf numFmtId="0" fontId="1" fillId="2" borderId="2" xfId="1" applyBorder="1" applyAlignment="1">
      <alignment horizontal="center"/>
    </xf>
    <xf numFmtId="0" fontId="1" fillId="2" borderId="1" xfId="1" applyBorder="1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5" fillId="3" borderId="0" xfId="0" applyFont="1" applyFill="1" applyAlignment="1"/>
    <xf numFmtId="0" fontId="0" fillId="3" borderId="0" xfId="0" applyFill="1" applyAlignme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9" fillId="6" borderId="0" xfId="2" applyBorder="1" applyAlignment="1"/>
    <xf numFmtId="0" fontId="10" fillId="0" borderId="0" xfId="3" applyFill="1" applyBorder="1"/>
    <xf numFmtId="0" fontId="0" fillId="8" borderId="1" xfId="0" applyFill="1" applyBorder="1" applyAlignment="1" applyProtection="1">
      <alignment horizontal="center"/>
      <protection locked="0"/>
    </xf>
    <xf numFmtId="2" fontId="10" fillId="7" borderId="1" xfId="3" applyNumberFormat="1" applyBorder="1" applyAlignment="1">
      <alignment horizontal="center"/>
    </xf>
    <xf numFmtId="2" fontId="10" fillId="7" borderId="19" xfId="3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left"/>
    </xf>
    <xf numFmtId="0" fontId="11" fillId="7" borderId="20" xfId="3" applyNumberFormat="1" applyFont="1" applyBorder="1"/>
    <xf numFmtId="0" fontId="11" fillId="7" borderId="21" xfId="3" applyNumberFormat="1" applyFont="1" applyBorder="1"/>
    <xf numFmtId="0" fontId="11" fillId="7" borderId="22" xfId="3" applyNumberFormat="1" applyFont="1" applyBorder="1"/>
    <xf numFmtId="1" fontId="10" fillId="7" borderId="1" xfId="3" applyNumberFormat="1" applyBorder="1" applyAlignment="1">
      <alignment horizontal="center"/>
    </xf>
    <xf numFmtId="1" fontId="10" fillId="7" borderId="19" xfId="3" applyNumberFormat="1" applyBorder="1" applyAlignment="1">
      <alignment horizontal="center"/>
    </xf>
    <xf numFmtId="1" fontId="10" fillId="7" borderId="17" xfId="3" applyNumberFormat="1" applyBorder="1" applyAlignment="1">
      <alignment horizontal="center"/>
    </xf>
    <xf numFmtId="1" fontId="10" fillId="7" borderId="18" xfId="3" applyNumberFormat="1" applyBorder="1" applyAlignment="1">
      <alignment horizontal="center"/>
    </xf>
    <xf numFmtId="0" fontId="10" fillId="7" borderId="26" xfId="3" applyBorder="1" applyAlignment="1">
      <alignment wrapText="1"/>
    </xf>
    <xf numFmtId="0" fontId="10" fillId="7" borderId="27" xfId="3" applyBorder="1" applyAlignment="1">
      <alignment wrapText="1"/>
    </xf>
    <xf numFmtId="1" fontId="10" fillId="7" borderId="28" xfId="3" applyNumberFormat="1" applyBorder="1" applyAlignment="1">
      <alignment horizontal="center"/>
    </xf>
    <xf numFmtId="1" fontId="10" fillId="7" borderId="29" xfId="3" applyNumberFormat="1" applyBorder="1" applyAlignment="1">
      <alignment horizontal="center"/>
    </xf>
    <xf numFmtId="2" fontId="10" fillId="7" borderId="29" xfId="3" applyNumberFormat="1" applyBorder="1" applyAlignment="1">
      <alignment horizontal="center"/>
    </xf>
    <xf numFmtId="0" fontId="0" fillId="0" borderId="0" xfId="0" applyFill="1" applyBorder="1"/>
    <xf numFmtId="2" fontId="10" fillId="0" borderId="0" xfId="3" applyNumberFormat="1" applyFill="1" applyBorder="1" applyAlignment="1">
      <alignment horizontal="center"/>
    </xf>
    <xf numFmtId="0" fontId="10" fillId="7" borderId="29" xfId="3" applyNumberFormat="1" applyBorder="1" applyAlignment="1">
      <alignment horizontal="center"/>
    </xf>
    <xf numFmtId="0" fontId="0" fillId="0" borderId="1" xfId="0" applyBorder="1"/>
    <xf numFmtId="0" fontId="0" fillId="9" borderId="1" xfId="0" applyFill="1" applyBorder="1"/>
    <xf numFmtId="2" fontId="0" fillId="0" borderId="0" xfId="0" applyNumberFormat="1" applyBorder="1" applyAlignment="1">
      <alignment horizontal="center"/>
    </xf>
    <xf numFmtId="0" fontId="10" fillId="7" borderId="30" xfId="3" applyBorder="1" applyAlignment="1">
      <alignment wrapText="1"/>
    </xf>
    <xf numFmtId="2" fontId="10" fillId="7" borderId="31" xfId="3" applyNumberFormat="1" applyBorder="1" applyAlignment="1">
      <alignment horizontal="center"/>
    </xf>
    <xf numFmtId="2" fontId="10" fillId="7" borderId="3" xfId="3" applyNumberFormat="1" applyBorder="1" applyAlignment="1">
      <alignment horizontal="center"/>
    </xf>
    <xf numFmtId="2" fontId="10" fillId="7" borderId="32" xfId="3" applyNumberFormat="1" applyBorder="1" applyAlignment="1">
      <alignment horizontal="center"/>
    </xf>
    <xf numFmtId="0" fontId="10" fillId="7" borderId="1" xfId="3" applyBorder="1" applyAlignment="1">
      <alignment wrapText="1"/>
    </xf>
    <xf numFmtId="0" fontId="0" fillId="0" borderId="14" xfId="0" applyFill="1" applyBorder="1" applyAlignment="1">
      <alignment horizontal="center"/>
    </xf>
    <xf numFmtId="0" fontId="10" fillId="7" borderId="16" xfId="3"/>
    <xf numFmtId="0" fontId="11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5" fillId="3" borderId="0" xfId="0" applyFont="1" applyFill="1" applyAlignment="1"/>
    <xf numFmtId="0" fontId="1" fillId="2" borderId="1" xfId="1" applyBorder="1" applyAlignment="1" applyProtection="1">
      <alignment horizontal="center"/>
      <protection locked="0"/>
    </xf>
    <xf numFmtId="0" fontId="0" fillId="3" borderId="0" xfId="0" applyFill="1" applyAlignment="1">
      <alignment textRotation="90"/>
    </xf>
    <xf numFmtId="0" fontId="0" fillId="3" borderId="0" xfId="0" applyFont="1" applyFill="1" applyAlignment="1">
      <alignment textRotation="90"/>
    </xf>
    <xf numFmtId="0" fontId="0" fillId="0" borderId="0" xfId="0" applyAlignment="1">
      <alignment textRotation="90"/>
    </xf>
    <xf numFmtId="0" fontId="0" fillId="3" borderId="0" xfId="0" applyFill="1" applyAlignment="1">
      <alignment horizontal="center" textRotation="90"/>
    </xf>
    <xf numFmtId="49" fontId="0" fillId="4" borderId="1" xfId="0" applyNumberFormat="1" applyFill="1" applyBorder="1" applyAlignment="1">
      <alignment horizontal="center" vertical="center" textRotation="90" wrapText="1"/>
    </xf>
    <xf numFmtId="0" fontId="0" fillId="3" borderId="0" xfId="0" applyFill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7" fillId="4" borderId="13" xfId="0" applyFont="1" applyFill="1" applyBorder="1" applyAlignment="1">
      <alignment horizontal="center" textRotation="90" wrapText="1"/>
    </xf>
    <xf numFmtId="164" fontId="13" fillId="5" borderId="1" xfId="0" applyNumberFormat="1" applyFont="1" applyFill="1" applyBorder="1" applyAlignment="1" applyProtection="1">
      <alignment horizontal="center"/>
    </xf>
    <xf numFmtId="49" fontId="3" fillId="4" borderId="1" xfId="0" applyNumberFormat="1" applyFont="1" applyFill="1" applyBorder="1" applyAlignment="1">
      <alignment horizontal="center" vertical="center" textRotation="90" wrapText="1"/>
    </xf>
    <xf numFmtId="0" fontId="0" fillId="0" borderId="2" xfId="0" applyBorder="1" applyAlignment="1" applyProtection="1">
      <alignment horizontal="center"/>
      <protection locked="0"/>
    </xf>
    <xf numFmtId="49" fontId="3" fillId="4" borderId="36" xfId="0" applyNumberFormat="1" applyFont="1" applyFill="1" applyBorder="1" applyAlignment="1">
      <alignment horizontal="center" vertical="center" textRotation="90" wrapText="1"/>
    </xf>
    <xf numFmtId="0" fontId="0" fillId="0" borderId="17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49" fontId="3" fillId="4" borderId="2" xfId="0" applyNumberFormat="1" applyFont="1" applyFill="1" applyBorder="1" applyAlignment="1">
      <alignment horizontal="center" vertical="center" textRotation="90" wrapText="1"/>
    </xf>
    <xf numFmtId="0" fontId="0" fillId="0" borderId="38" xfId="0" applyBorder="1" applyAlignment="1" applyProtection="1">
      <alignment horizontal="center"/>
      <protection locked="0"/>
    </xf>
    <xf numFmtId="49" fontId="3" fillId="4" borderId="41" xfId="0" applyNumberFormat="1" applyFont="1" applyFill="1" applyBorder="1" applyAlignment="1">
      <alignment horizontal="center" vertical="center" textRotation="90" wrapText="1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0" fillId="4" borderId="17" xfId="0" applyNumberFormat="1" applyFill="1" applyBorder="1" applyAlignment="1">
      <alignment horizontal="center" vertical="center" textRotation="90" wrapText="1"/>
    </xf>
    <xf numFmtId="49" fontId="0" fillId="4" borderId="36" xfId="0" applyNumberFormat="1" applyFill="1" applyBorder="1" applyAlignment="1">
      <alignment horizontal="center" vertical="center" textRotation="90" wrapText="1"/>
    </xf>
    <xf numFmtId="0" fontId="0" fillId="4" borderId="43" xfId="0" applyFont="1" applyFill="1" applyBorder="1" applyAlignment="1">
      <alignment horizontal="center" textRotation="90"/>
    </xf>
    <xf numFmtId="49" fontId="0" fillId="4" borderId="41" xfId="0" applyNumberFormat="1" applyFill="1" applyBorder="1" applyAlignment="1">
      <alignment horizontal="center" vertical="center" textRotation="90" wrapText="1"/>
    </xf>
    <xf numFmtId="0" fontId="0" fillId="8" borderId="41" xfId="0" applyFill="1" applyBorder="1" applyAlignment="1" applyProtection="1">
      <alignment horizontal="center"/>
      <protection locked="0"/>
    </xf>
    <xf numFmtId="0" fontId="0" fillId="8" borderId="42" xfId="0" applyFill="1" applyBorder="1" applyAlignment="1" applyProtection="1">
      <alignment horizontal="center"/>
      <protection locked="0"/>
    </xf>
    <xf numFmtId="0" fontId="0" fillId="8" borderId="17" xfId="0" applyFill="1" applyBorder="1" applyAlignment="1" applyProtection="1">
      <alignment horizontal="center"/>
      <protection locked="0"/>
    </xf>
    <xf numFmtId="0" fontId="11" fillId="0" borderId="36" xfId="0" applyFont="1" applyFill="1" applyBorder="1" applyAlignment="1" applyProtection="1">
      <alignment horizontal="center"/>
      <protection locked="0"/>
    </xf>
    <xf numFmtId="0" fontId="0" fillId="8" borderId="18" xfId="0" applyFill="1" applyBorder="1" applyAlignment="1" applyProtection="1">
      <alignment horizontal="center"/>
      <protection locked="0"/>
    </xf>
    <xf numFmtId="0" fontId="0" fillId="8" borderId="19" xfId="0" applyFill="1" applyBorder="1" applyAlignment="1" applyProtection="1">
      <alignment horizontal="center"/>
      <protection locked="0"/>
    </xf>
    <xf numFmtId="0" fontId="11" fillId="0" borderId="19" xfId="0" applyFont="1" applyFill="1" applyBorder="1" applyAlignment="1" applyProtection="1">
      <alignment horizontal="center"/>
      <protection locked="0"/>
    </xf>
    <xf numFmtId="0" fontId="11" fillId="0" borderId="37" xfId="0" applyFont="1" applyFill="1" applyBorder="1" applyAlignment="1" applyProtection="1">
      <alignment horizontal="center"/>
      <protection locked="0"/>
    </xf>
    <xf numFmtId="0" fontId="6" fillId="4" borderId="43" xfId="0" applyFont="1" applyFill="1" applyBorder="1" applyAlignment="1">
      <alignment horizontal="center"/>
    </xf>
    <xf numFmtId="0" fontId="0" fillId="4" borderId="40" xfId="0" applyFont="1" applyFill="1" applyBorder="1" applyAlignment="1">
      <alignment horizontal="center" textRotation="90"/>
    </xf>
    <xf numFmtId="0" fontId="0" fillId="4" borderId="41" xfId="0" applyFont="1" applyFill="1" applyBorder="1" applyAlignment="1">
      <alignment horizontal="center" vertical="center" wrapText="1"/>
    </xf>
    <xf numFmtId="0" fontId="0" fillId="0" borderId="41" xfId="0" applyFill="1" applyBorder="1" applyAlignment="1" applyProtection="1">
      <alignment horizontal="center"/>
      <protection locked="0"/>
    </xf>
    <xf numFmtId="0" fontId="0" fillId="0" borderId="42" xfId="0" applyFill="1" applyBorder="1" applyAlignment="1" applyProtection="1">
      <alignment horizontal="center"/>
      <protection locked="0"/>
    </xf>
    <xf numFmtId="0" fontId="7" fillId="4" borderId="26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 wrapText="1"/>
    </xf>
    <xf numFmtId="0" fontId="7" fillId="4" borderId="46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2" fontId="13" fillId="5" borderId="17" xfId="0" applyNumberFormat="1" applyFont="1" applyFill="1" applyBorder="1" applyAlignment="1" applyProtection="1">
      <alignment horizontal="center"/>
    </xf>
    <xf numFmtId="164" fontId="13" fillId="5" borderId="36" xfId="0" applyNumberFormat="1" applyFont="1" applyFill="1" applyBorder="1" applyAlignment="1" applyProtection="1">
      <alignment horizontal="center"/>
    </xf>
    <xf numFmtId="2" fontId="13" fillId="5" borderId="18" xfId="0" applyNumberFormat="1" applyFont="1" applyFill="1" applyBorder="1" applyAlignment="1" applyProtection="1">
      <alignment horizontal="center"/>
    </xf>
    <xf numFmtId="164" fontId="13" fillId="5" borderId="37" xfId="0" applyNumberFormat="1" applyFont="1" applyFill="1" applyBorder="1" applyAlignment="1" applyProtection="1">
      <alignment horizontal="center"/>
    </xf>
    <xf numFmtId="0" fontId="7" fillId="4" borderId="47" xfId="0" applyFont="1" applyFill="1" applyBorder="1" applyAlignment="1">
      <alignment horizontal="center" textRotation="90" wrapText="1"/>
    </xf>
    <xf numFmtId="0" fontId="7" fillId="4" borderId="46" xfId="0" applyFont="1" applyFill="1" applyBorder="1" applyAlignment="1">
      <alignment horizontal="center" textRotation="90" wrapText="1"/>
    </xf>
    <xf numFmtId="164" fontId="13" fillId="5" borderId="17" xfId="0" applyNumberFormat="1" applyFont="1" applyFill="1" applyBorder="1" applyAlignment="1" applyProtection="1">
      <alignment horizontal="center"/>
    </xf>
    <xf numFmtId="164" fontId="13" fillId="5" borderId="18" xfId="0" applyNumberFormat="1" applyFont="1" applyFill="1" applyBorder="1" applyAlignment="1" applyProtection="1">
      <alignment horizontal="center"/>
    </xf>
    <xf numFmtId="164" fontId="13" fillId="5" borderId="19" xfId="0" applyNumberFormat="1" applyFont="1" applyFill="1" applyBorder="1" applyAlignment="1" applyProtection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3" borderId="0" xfId="0" applyFont="1" applyFill="1" applyAlignment="1"/>
    <xf numFmtId="0" fontId="0" fillId="0" borderId="0" xfId="0" applyAlignment="1"/>
    <xf numFmtId="0" fontId="5" fillId="3" borderId="0" xfId="0" applyFont="1" applyFill="1" applyAlignment="1"/>
    <xf numFmtId="0" fontId="0" fillId="3" borderId="0" xfId="0" applyFill="1" applyAlignment="1"/>
    <xf numFmtId="0" fontId="0" fillId="4" borderId="33" xfId="0" applyFont="1" applyFill="1" applyBorder="1" applyAlignment="1">
      <alignment horizontal="center"/>
    </xf>
    <xf numFmtId="0" fontId="0" fillId="4" borderId="34" xfId="0" applyFont="1" applyFill="1" applyBorder="1" applyAlignment="1">
      <alignment horizontal="center"/>
    </xf>
    <xf numFmtId="0" fontId="0" fillId="4" borderId="35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/>
    </xf>
    <xf numFmtId="0" fontId="6" fillId="4" borderId="50" xfId="0" applyFont="1" applyFill="1" applyBorder="1" applyAlignment="1">
      <alignment horizontal="center"/>
    </xf>
    <xf numFmtId="0" fontId="0" fillId="4" borderId="33" xfId="0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4" borderId="39" xfId="0" applyFont="1" applyFill="1" applyBorder="1" applyAlignment="1">
      <alignment horizontal="center" textRotation="90"/>
    </xf>
    <xf numFmtId="0" fontId="0" fillId="0" borderId="40" xfId="0" applyBorder="1" applyAlignment="1">
      <alignment horizontal="center" textRotation="90"/>
    </xf>
    <xf numFmtId="0" fontId="8" fillId="3" borderId="0" xfId="0" applyFont="1" applyFill="1" applyAlignment="1"/>
    <xf numFmtId="0" fontId="2" fillId="3" borderId="0" xfId="0" applyFont="1" applyFill="1" applyAlignment="1"/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2" xfId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/>
    <xf numFmtId="0" fontId="0" fillId="0" borderId="2" xfId="0" applyBorder="1" applyAlignment="1"/>
    <xf numFmtId="0" fontId="0" fillId="4" borderId="2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4" xfId="0" applyBorder="1" applyAlignment="1"/>
    <xf numFmtId="0" fontId="0" fillId="0" borderId="25" xfId="0" applyBorder="1" applyAlignment="1"/>
    <xf numFmtId="0" fontId="3" fillId="0" borderId="24" xfId="0" applyFont="1" applyBorder="1" applyAlignment="1"/>
  </cellXfs>
  <cellStyles count="5">
    <cellStyle name="Bad" xfId="1" builtinId="27"/>
    <cellStyle name="Check Cell" xfId="2" builtinId="23"/>
    <cellStyle name="Input" xfId="3" builtinId="20"/>
    <cellStyle name="Normal" xfId="0" builtinId="0"/>
    <cellStyle name="Style 1" xfId="4"/>
  </cellStyles>
  <dxfs count="70"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fgColor theme="0" tint="-0.14993743705557422"/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419100</xdr:colOff>
      <xdr:row>1</xdr:row>
      <xdr:rowOff>85725</xdr:rowOff>
    </xdr:from>
    <xdr:to>
      <xdr:col>33</xdr:col>
      <xdr:colOff>387062</xdr:colOff>
      <xdr:row>3</xdr:row>
      <xdr:rowOff>152400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2753975" y="257175"/>
          <a:ext cx="3616037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2400" b="0" i="1" u="none" strike="noStrike" baseline="0">
              <a:solidFill>
                <a:srgbClr val="969696"/>
              </a:solidFill>
              <a:latin typeface="Times New Roman"/>
              <a:cs typeface="Times New Roman"/>
            </a:rPr>
            <a:t>Interactive TD 306, </a:t>
          </a:r>
          <a:r>
            <a:rPr lang="en-US" sz="1200" b="0" i="1" u="none" strike="noStrike" baseline="0">
              <a:solidFill>
                <a:srgbClr val="969696"/>
              </a:solidFill>
              <a:latin typeface="Times New Roman"/>
              <a:cs typeface="Times New Roman"/>
            </a:rPr>
            <a:t>May 2018</a:t>
          </a:r>
          <a:endParaRPr lang="en-US" sz="12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381000</xdr:colOff>
      <xdr:row>3</xdr:row>
      <xdr:rowOff>190500</xdr:rowOff>
    </xdr:to>
    <xdr:pic>
      <xdr:nvPicPr>
        <xdr:cNvPr id="5" name="Picture 2" descr="Description: Aanderaa_Xylem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14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381433</xdr:colOff>
      <xdr:row>3</xdr:row>
      <xdr:rowOff>190500</xdr:rowOff>
    </xdr:to>
    <xdr:pic>
      <xdr:nvPicPr>
        <xdr:cNvPr id="5" name="Picture 2" descr="Description: Aanderaa_Xylem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4845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343333</xdr:colOff>
      <xdr:row>3</xdr:row>
      <xdr:rowOff>190500</xdr:rowOff>
    </xdr:to>
    <xdr:pic>
      <xdr:nvPicPr>
        <xdr:cNvPr id="4" name="Picture 2" descr="Description: Aanderaa_Xylem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9130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PS%20teori/Current_Consuption_spre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ie.dorgeville/AppData/Local/Microsoft/Windows/Temporary%20Internet%20Files/Content.Outlook/CI32D9EN/Power%20Consumption%20Pressure%20Tide%20WaveandTi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arrow Band"/>
      <sheetName val="Broad Band"/>
      <sheetName val="Sheet2"/>
    </sheetNames>
    <sheetDataSet>
      <sheetData sheetId="0">
        <row r="67">
          <cell r="Y67">
            <v>1.4499999999999999E-3</v>
          </cell>
        </row>
        <row r="68">
          <cell r="Y68">
            <v>4.3400000000000001E-2</v>
          </cell>
        </row>
        <row r="69">
          <cell r="Y69">
            <v>5.1999999999999998E-3</v>
          </cell>
        </row>
        <row r="70">
          <cell r="Y70">
            <v>0.08</v>
          </cell>
        </row>
      </sheetData>
      <sheetData sheetId="1">
        <row r="3">
          <cell r="AG3">
            <v>1.3785872580868101E-3</v>
          </cell>
        </row>
        <row r="4">
          <cell r="AG4">
            <v>1.4581126973875901E-3</v>
          </cell>
        </row>
        <row r="5">
          <cell r="AG5">
            <v>2.3584199637348199E-3</v>
          </cell>
        </row>
        <row r="6">
          <cell r="AG6">
            <v>6.7549769310342996E-4</v>
          </cell>
        </row>
        <row r="7">
          <cell r="AG7">
            <v>-0.138356240480069</v>
          </cell>
        </row>
        <row r="8">
          <cell r="AG8">
            <v>6.8800465234093299E-4</v>
          </cell>
        </row>
        <row r="9">
          <cell r="AG9">
            <v>1.98665390330956</v>
          </cell>
        </row>
        <row r="10">
          <cell r="AG10">
            <v>2.0924587905092901E-3</v>
          </cell>
        </row>
        <row r="11">
          <cell r="AG11">
            <v>-3.3384125641624201E-3</v>
          </cell>
        </row>
        <row r="12">
          <cell r="AG12">
            <v>2.2819473619269401E-3</v>
          </cell>
        </row>
        <row r="13">
          <cell r="AG13">
            <v>5.2143965740254301E-3</v>
          </cell>
        </row>
      </sheetData>
      <sheetData sheetId="2"/>
      <sheetData sheetId="3">
        <row r="6">
          <cell r="AA6">
            <v>1.4809655172413794E-3</v>
          </cell>
          <cell r="AG6">
            <v>2.7901055172413793E-2</v>
          </cell>
        </row>
        <row r="11">
          <cell r="AA11">
            <v>2.0770689655172413E-3</v>
          </cell>
          <cell r="AG11">
            <v>3.3371489655172414E-2</v>
          </cell>
        </row>
        <row r="21">
          <cell r="AA21">
            <v>3.2863448275862071E-3</v>
          </cell>
        </row>
        <row r="31">
          <cell r="AA31">
            <v>4.4916206896551732E-3</v>
          </cell>
        </row>
        <row r="39">
          <cell r="AF39">
            <v>7.3800000000000004E-2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9">
          <cell r="C19">
            <v>2</v>
          </cell>
        </row>
        <row r="20">
          <cell r="C20">
            <v>1024</v>
          </cell>
        </row>
        <row r="21">
          <cell r="C21">
            <v>40</v>
          </cell>
        </row>
        <row r="22">
          <cell r="C22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N52"/>
  <sheetViews>
    <sheetView tabSelected="1" zoomScaleNormal="100" workbookViewId="0">
      <selection sqref="A1:BU4"/>
    </sheetView>
  </sheetViews>
  <sheetFormatPr defaultColWidth="0" defaultRowHeight="15" customHeight="1" zeroHeight="1" x14ac:dyDescent="0.25"/>
  <cols>
    <col min="1" max="1" width="6" customWidth="1"/>
    <col min="2" max="2" width="9.140625" customWidth="1"/>
    <col min="3" max="3" width="12.42578125" bestFit="1" customWidth="1"/>
    <col min="4" max="4" width="6.5703125" bestFit="1" customWidth="1"/>
    <col min="5" max="5" width="4.7109375" customWidth="1"/>
    <col min="6" max="6" width="4.42578125" customWidth="1"/>
    <col min="7" max="18" width="6.5703125" bestFit="1" customWidth="1"/>
    <col min="19" max="22" width="4" customWidth="1"/>
    <col min="23" max="23" width="3.5703125" bestFit="1" customWidth="1"/>
    <col min="24" max="24" width="6.5703125" bestFit="1" customWidth="1"/>
    <col min="25" max="26" width="9.42578125" bestFit="1" customWidth="1"/>
    <col min="27" max="27" width="5" customWidth="1"/>
    <col min="28" max="28" width="9.140625" customWidth="1"/>
    <col min="29" max="29" width="4.5703125" customWidth="1"/>
    <col min="30" max="30" width="14" customWidth="1"/>
    <col min="31" max="31" width="13.5703125" customWidth="1"/>
    <col min="32" max="35" width="6.7109375" bestFit="1" customWidth="1"/>
    <col min="36" max="36" width="7.7109375" customWidth="1"/>
    <col min="37" max="37" width="8.5703125" bestFit="1" customWidth="1"/>
    <col min="38" max="38" width="5.5703125" customWidth="1"/>
    <col min="39" max="118" width="0" hidden="1" customWidth="1"/>
    <col min="119" max="16384" width="9.140625" hidden="1"/>
  </cols>
  <sheetData>
    <row r="1" spans="1:73" ht="13.5" customHeight="1" x14ac:dyDescent="0.25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</row>
    <row r="2" spans="1:73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</row>
    <row r="3" spans="1:73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</row>
    <row r="4" spans="1:73" ht="36.75" customHeight="1" x14ac:dyDescent="0.25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</row>
    <row r="5" spans="1:7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73" x14ac:dyDescent="0.25">
      <c r="A6" s="7"/>
      <c r="B6" s="137" t="s">
        <v>131</v>
      </c>
      <c r="C6" s="137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42"/>
      <c r="T6" s="42"/>
      <c r="U6" s="42"/>
      <c r="V6" s="42"/>
      <c r="W6" s="42"/>
      <c r="X6" s="42"/>
      <c r="Y6" s="42"/>
      <c r="Z6" s="42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73" x14ac:dyDescent="0.25">
      <c r="A7" s="7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42"/>
      <c r="T7" s="42"/>
      <c r="U7" s="42"/>
      <c r="V7" s="42"/>
      <c r="W7" s="42"/>
      <c r="X7" s="42"/>
      <c r="Y7" s="42"/>
      <c r="Z7" s="42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73" ht="23.25" x14ac:dyDescent="0.35">
      <c r="A8" s="7"/>
      <c r="B8" s="139"/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32"/>
      <c r="T8" s="32"/>
      <c r="U8" s="32"/>
      <c r="V8" s="32"/>
      <c r="W8" s="32"/>
      <c r="X8" s="32"/>
      <c r="Y8" s="32"/>
      <c r="Z8" s="32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73" ht="24" thickBot="1" x14ac:dyDescent="0.4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31"/>
      <c r="T9" s="31"/>
      <c r="U9" s="31"/>
      <c r="V9" s="31"/>
      <c r="W9" s="31"/>
      <c r="X9" s="31"/>
      <c r="Y9" s="31"/>
      <c r="Z9" s="31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73" ht="28.5" customHeight="1" thickBot="1" x14ac:dyDescent="0.3">
      <c r="A10" s="7"/>
      <c r="B10" s="158" t="s">
        <v>139</v>
      </c>
      <c r="C10" s="155" t="s">
        <v>138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7"/>
      <c r="S10" s="144" t="s">
        <v>91</v>
      </c>
      <c r="T10" s="145"/>
      <c r="U10" s="145"/>
      <c r="V10" s="145"/>
      <c r="W10" s="145"/>
      <c r="X10" s="145"/>
      <c r="Y10" s="145"/>
      <c r="Z10" s="146"/>
      <c r="AA10" s="14"/>
      <c r="AB10" s="115" t="s">
        <v>75</v>
      </c>
      <c r="AC10" s="14"/>
      <c r="AD10" s="120"/>
      <c r="AE10" s="121"/>
      <c r="AF10" s="150" t="s">
        <v>133</v>
      </c>
      <c r="AG10" s="151"/>
      <c r="AH10" s="152"/>
      <c r="AI10" s="150" t="s">
        <v>137</v>
      </c>
      <c r="AJ10" s="151"/>
      <c r="AK10" s="152"/>
      <c r="AL10" s="7"/>
    </row>
    <row r="11" spans="1:73" s="83" customFormat="1" ht="69" customHeight="1" x14ac:dyDescent="0.25">
      <c r="A11" s="81"/>
      <c r="B11" s="159"/>
      <c r="C11" s="142" t="s">
        <v>72</v>
      </c>
      <c r="D11" s="153"/>
      <c r="E11" s="153"/>
      <c r="F11" s="154"/>
      <c r="G11" s="141" t="s">
        <v>5</v>
      </c>
      <c r="H11" s="142"/>
      <c r="I11" s="142"/>
      <c r="J11" s="143"/>
      <c r="K11" s="141" t="s">
        <v>6</v>
      </c>
      <c r="L11" s="142"/>
      <c r="M11" s="142"/>
      <c r="N11" s="143"/>
      <c r="O11" s="141" t="s">
        <v>7</v>
      </c>
      <c r="P11" s="142"/>
      <c r="Q11" s="142"/>
      <c r="R11" s="143"/>
      <c r="S11" s="105" t="s">
        <v>87</v>
      </c>
      <c r="T11" s="105" t="s">
        <v>88</v>
      </c>
      <c r="U11" s="105" t="s">
        <v>89</v>
      </c>
      <c r="V11" s="105" t="s">
        <v>86</v>
      </c>
      <c r="W11" s="147" t="s">
        <v>114</v>
      </c>
      <c r="X11" s="148"/>
      <c r="Y11" s="148"/>
      <c r="Z11" s="149"/>
      <c r="AA11" s="82"/>
      <c r="AB11" s="116" t="s">
        <v>76</v>
      </c>
      <c r="AC11" s="82"/>
      <c r="AD11" s="122" t="s">
        <v>135</v>
      </c>
      <c r="AE11" s="123" t="s">
        <v>136</v>
      </c>
      <c r="AF11" s="130" t="s">
        <v>5</v>
      </c>
      <c r="AG11" s="88" t="s">
        <v>6</v>
      </c>
      <c r="AH11" s="131" t="s">
        <v>7</v>
      </c>
      <c r="AI11" s="130" t="s">
        <v>5</v>
      </c>
      <c r="AJ11" s="88" t="s">
        <v>6</v>
      </c>
      <c r="AK11" s="131" t="s">
        <v>7</v>
      </c>
      <c r="AL11" s="81"/>
    </row>
    <row r="12" spans="1:73" s="87" customFormat="1" ht="61.5" x14ac:dyDescent="0.25">
      <c r="A12" s="84"/>
      <c r="B12" s="100" t="s">
        <v>63</v>
      </c>
      <c r="C12" s="98" t="s">
        <v>0</v>
      </c>
      <c r="D12" s="90" t="s">
        <v>22</v>
      </c>
      <c r="E12" s="90" t="s">
        <v>65</v>
      </c>
      <c r="F12" s="92" t="s">
        <v>25</v>
      </c>
      <c r="G12" s="103" t="s">
        <v>23</v>
      </c>
      <c r="H12" s="85" t="s">
        <v>66</v>
      </c>
      <c r="I12" s="85" t="s">
        <v>82</v>
      </c>
      <c r="J12" s="104" t="s">
        <v>24</v>
      </c>
      <c r="K12" s="103" t="s">
        <v>23</v>
      </c>
      <c r="L12" s="85" t="s">
        <v>66</v>
      </c>
      <c r="M12" s="85" t="s">
        <v>82</v>
      </c>
      <c r="N12" s="104" t="s">
        <v>24</v>
      </c>
      <c r="O12" s="103" t="s">
        <v>23</v>
      </c>
      <c r="P12" s="85" t="s">
        <v>66</v>
      </c>
      <c r="Q12" s="85" t="s">
        <v>82</v>
      </c>
      <c r="R12" s="104" t="s">
        <v>24</v>
      </c>
      <c r="S12" s="106"/>
      <c r="T12" s="106"/>
      <c r="U12" s="106"/>
      <c r="V12" s="106"/>
      <c r="W12" s="103"/>
      <c r="X12" s="85" t="s">
        <v>115</v>
      </c>
      <c r="Y12" s="85" t="s">
        <v>116</v>
      </c>
      <c r="Z12" s="104" t="s">
        <v>117</v>
      </c>
      <c r="AA12" s="81"/>
      <c r="AB12" s="117" t="s">
        <v>80</v>
      </c>
      <c r="AC12" s="86"/>
      <c r="AD12" s="124" t="s">
        <v>79</v>
      </c>
      <c r="AE12" s="125" t="s">
        <v>81</v>
      </c>
      <c r="AF12" s="124" t="s">
        <v>132</v>
      </c>
      <c r="AG12" s="12" t="s">
        <v>132</v>
      </c>
      <c r="AH12" s="125" t="s">
        <v>132</v>
      </c>
      <c r="AI12" s="124" t="s">
        <v>132</v>
      </c>
      <c r="AJ12" s="12" t="s">
        <v>132</v>
      </c>
      <c r="AK12" s="125" t="s">
        <v>132</v>
      </c>
      <c r="AL12" s="86"/>
    </row>
    <row r="13" spans="1:73" x14ac:dyDescent="0.25">
      <c r="A13" s="17"/>
      <c r="B13" s="101">
        <v>10</v>
      </c>
      <c r="C13" s="91" t="s">
        <v>83</v>
      </c>
      <c r="D13" s="30">
        <v>150</v>
      </c>
      <c r="E13" s="30">
        <v>50</v>
      </c>
      <c r="F13" s="94" t="s">
        <v>74</v>
      </c>
      <c r="G13" s="93">
        <v>2</v>
      </c>
      <c r="H13" s="30">
        <v>2</v>
      </c>
      <c r="I13" s="30">
        <v>2</v>
      </c>
      <c r="J13" s="94" t="s">
        <v>74</v>
      </c>
      <c r="K13" s="93">
        <v>0</v>
      </c>
      <c r="L13" s="30">
        <v>1</v>
      </c>
      <c r="M13" s="30">
        <v>1</v>
      </c>
      <c r="N13" s="94" t="s">
        <v>74</v>
      </c>
      <c r="O13" s="93">
        <v>0</v>
      </c>
      <c r="P13" s="30">
        <v>2</v>
      </c>
      <c r="Q13" s="30">
        <v>3</v>
      </c>
      <c r="R13" s="94" t="s">
        <v>73</v>
      </c>
      <c r="S13" s="107" t="s">
        <v>74</v>
      </c>
      <c r="T13" s="107" t="s">
        <v>74</v>
      </c>
      <c r="U13" s="107" t="s">
        <v>74</v>
      </c>
      <c r="V13" s="107" t="s">
        <v>74</v>
      </c>
      <c r="W13" s="109" t="s">
        <v>74</v>
      </c>
      <c r="X13" s="44" t="s">
        <v>98</v>
      </c>
      <c r="Y13" s="77" t="s">
        <v>126</v>
      </c>
      <c r="Z13" s="110" t="s">
        <v>96</v>
      </c>
      <c r="AA13" s="7"/>
      <c r="AB13" s="118">
        <v>70</v>
      </c>
      <c r="AC13" s="7"/>
      <c r="AD13" s="126">
        <f>IF(ISBLANK('Power Calculator'!B13),"",(IF(C13="Narrow Band",'Narrow Band'!BC13,BB!BI13)+IF(S13="Yes",Lists!K27)+IF(T13="Yes",Lists!L27)+IF(U13="Yes",Lists!M27)+IF(V13="Yes",Lists!N27)+IF(W13="Yes",Lists!U35)))</f>
        <v>9.7268390985221629</v>
      </c>
      <c r="AE13" s="127">
        <f>IF(ISBLANK('Power Calculator'!B13),"",(IF(AB13&gt;0,AB13/AD13*1000/24,"")))</f>
        <v>299.85760400928268</v>
      </c>
      <c r="AF13" s="132">
        <f>IF(ISBLANK('Power Calculator'!$B13),"",INDEX(Lists!$Z$4:$AA$13,MATCH(I13,Lists!$Y$4:$Y$13),IF($C13="Narrow Band",1,2)))</f>
        <v>22</v>
      </c>
      <c r="AG13" s="89">
        <f>IF(ISBLANK('Power Calculator'!$B13),"",INDEX(Lists!$Z$4:$AA$13,MATCH(M13,Lists!$Y$4:$Y$13),IF($C13="Narrow Band",1,2)))</f>
        <v>45</v>
      </c>
      <c r="AH13" s="127">
        <f>IF(ISBLANK('Power Calculator'!$B13),"",INDEX(Lists!$Z$4:$AA$13,MATCH(Q13,Lists!$Y$4:$Y$13),IF($C13="Narrow Band",1,2)))</f>
        <v>15</v>
      </c>
      <c r="AI13" s="132">
        <f>IF(ISBLANK('Power Calculator'!$B13),"",AF13/SQRT($D13))</f>
        <v>1.7962924780409972</v>
      </c>
      <c r="AJ13" s="89">
        <f>IF(ISBLANK('Power Calculator'!$B13),"",AG13/SQRT($D13))</f>
        <v>3.6742346141747673</v>
      </c>
      <c r="AK13" s="127">
        <f>IF(ISBLANK('Power Calculator'!$B13),"",AH13/SQRT($D13))</f>
        <v>1.2247448713915892</v>
      </c>
      <c r="AL13" s="7"/>
    </row>
    <row r="14" spans="1:73" x14ac:dyDescent="0.25">
      <c r="A14" s="17"/>
      <c r="B14" s="101">
        <v>10</v>
      </c>
      <c r="C14" s="91" t="s">
        <v>83</v>
      </c>
      <c r="D14" s="30">
        <v>30</v>
      </c>
      <c r="E14" s="30">
        <v>50</v>
      </c>
      <c r="F14" s="94" t="s">
        <v>74</v>
      </c>
      <c r="G14" s="93">
        <v>2</v>
      </c>
      <c r="H14" s="30">
        <v>2</v>
      </c>
      <c r="I14" s="30">
        <v>2</v>
      </c>
      <c r="J14" s="94" t="s">
        <v>74</v>
      </c>
      <c r="K14" s="93">
        <v>0</v>
      </c>
      <c r="L14" s="30">
        <v>1</v>
      </c>
      <c r="M14" s="30">
        <v>1</v>
      </c>
      <c r="N14" s="94" t="s">
        <v>74</v>
      </c>
      <c r="O14" s="93">
        <v>0</v>
      </c>
      <c r="P14" s="30">
        <v>2</v>
      </c>
      <c r="Q14" s="30">
        <v>2</v>
      </c>
      <c r="R14" s="94" t="s">
        <v>73</v>
      </c>
      <c r="S14" s="107" t="s">
        <v>74</v>
      </c>
      <c r="T14" s="107" t="s">
        <v>74</v>
      </c>
      <c r="U14" s="107" t="s">
        <v>74</v>
      </c>
      <c r="V14" s="107" t="s">
        <v>74</v>
      </c>
      <c r="W14" s="109" t="s">
        <v>74</v>
      </c>
      <c r="X14" s="44" t="s">
        <v>98</v>
      </c>
      <c r="Y14" s="77" t="s">
        <v>126</v>
      </c>
      <c r="Z14" s="110">
        <v>2048</v>
      </c>
      <c r="AA14" s="7"/>
      <c r="AB14" s="118">
        <v>70</v>
      </c>
      <c r="AC14" s="7"/>
      <c r="AD14" s="126">
        <f>IF(ISBLANK('Power Calculator'!B14),"",(IF(C14="Narrow Band",'Narrow Band'!BC14,BB!BI14)+IF(S14="Yes",Lists!K28)+IF(T14="Yes",Lists!L28)+IF(U14="Yes",Lists!M28)+IF(V14="Yes",Lists!N28)+IF(W14="Yes",Lists!U36)))</f>
        <v>2.6173678197044326</v>
      </c>
      <c r="AE14" s="127">
        <f>IF(ISBLANK('Power Calculator'!B14),"",(IF(AB14&gt;0,AB14/AD14*1000/24,"")))</f>
        <v>1114.3510838289565</v>
      </c>
      <c r="AF14" s="132">
        <f>IF(ISBLANK('Power Calculator'!$B14),"",INDEX(Lists!$Z$4:$AA$13,MATCH(I14,Lists!$Y$4:$Y$13),IF($C14="Narrow Band",1,2)))</f>
        <v>22</v>
      </c>
      <c r="AG14" s="89">
        <f>IF(ISBLANK('Power Calculator'!$B14),"",INDEX(Lists!$Z$4:$AA$13,MATCH(M14,Lists!$Y$4:$Y$13),IF($C14="Narrow Band",1,2)))</f>
        <v>45</v>
      </c>
      <c r="AH14" s="127">
        <f>IF(ISBLANK('Power Calculator'!$B14),"",INDEX(Lists!$Z$4:$AA$13,MATCH(Q14,Lists!$Y$4:$Y$13),IF($C14="Narrow Band",1,2)))</f>
        <v>22</v>
      </c>
      <c r="AI14" s="132">
        <f>IF(ISBLANK('Power Calculator'!$B14),"",AF14/SQRT($D14))</f>
        <v>4.0166320883712183</v>
      </c>
      <c r="AJ14" s="89">
        <f>IF(ISBLANK('Power Calculator'!$B14),"",AG14/SQRT($D14))</f>
        <v>8.2158383625774913</v>
      </c>
      <c r="AK14" s="127">
        <f>IF(ISBLANK('Power Calculator'!$B14),"",AH14/SQRT($D14))</f>
        <v>4.0166320883712183</v>
      </c>
      <c r="AL14" s="7"/>
    </row>
    <row r="15" spans="1:73" x14ac:dyDescent="0.25">
      <c r="A15" s="17"/>
      <c r="B15" s="101"/>
      <c r="C15" s="91"/>
      <c r="D15" s="30"/>
      <c r="E15" s="30"/>
      <c r="F15" s="94"/>
      <c r="G15" s="93"/>
      <c r="H15" s="30"/>
      <c r="I15" s="30"/>
      <c r="J15" s="94"/>
      <c r="K15" s="93"/>
      <c r="L15" s="30"/>
      <c r="M15" s="30"/>
      <c r="N15" s="94"/>
      <c r="O15" s="93"/>
      <c r="P15" s="30"/>
      <c r="Q15" s="30"/>
      <c r="R15" s="94"/>
      <c r="S15" s="107"/>
      <c r="T15" s="107"/>
      <c r="U15" s="107"/>
      <c r="V15" s="107"/>
      <c r="W15" s="109"/>
      <c r="X15" s="44"/>
      <c r="Y15" s="77"/>
      <c r="Z15" s="110"/>
      <c r="AA15" s="7"/>
      <c r="AB15" s="118">
        <v>70</v>
      </c>
      <c r="AC15" s="7"/>
      <c r="AD15" s="126" t="str">
        <f>IF(ISBLANK('Power Calculator'!B15),"",(IF(C15="Narrow Band",'Narrow Band'!BC15,BB!BI15)+IF(S15="Yes",Lists!K29)+IF(T15="Yes",Lists!L29)+IF(U15="Yes",Lists!M29)+IF(V15="Yes",Lists!N29)+IF(W15="Yes",Lists!U37)))</f>
        <v/>
      </c>
      <c r="AE15" s="127" t="str">
        <f>IF(ISBLANK('Power Calculator'!B15),"",(IF(AB15&gt;0,AB15/AD15*1000/24,"")))</f>
        <v/>
      </c>
      <c r="AF15" s="132" t="str">
        <f>IF(ISBLANK('Power Calculator'!$B15),"",INDEX(Lists!$Z$4:$AA$13,MATCH(I15,Lists!$Y$4:$Y$13),IF($C15="Narrow Band",1,2)))</f>
        <v/>
      </c>
      <c r="AG15" s="89" t="str">
        <f>IF(ISBLANK('Power Calculator'!$B15),"",INDEX(Lists!$Z$4:$AA$13,MATCH(M15,Lists!$Y$4:$Y$13),IF($C15="Narrow Band",1,2)))</f>
        <v/>
      </c>
      <c r="AH15" s="127" t="str">
        <f>IF(ISBLANK('Power Calculator'!$B15),"",INDEX(Lists!$Z$4:$AA$13,MATCH(Q15,Lists!$Y$4:$Y$13),IF($C15="Narrow Band",1,2)))</f>
        <v/>
      </c>
      <c r="AI15" s="132" t="str">
        <f>IF(ISBLANK('Power Calculator'!$B15),"",AF15/SQRT($D15))</f>
        <v/>
      </c>
      <c r="AJ15" s="89" t="str">
        <f>IF(ISBLANK('Power Calculator'!$B15),"",AG15/SQRT($D15))</f>
        <v/>
      </c>
      <c r="AK15" s="127" t="str">
        <f>IF(ISBLANK('Power Calculator'!$B15),"",AH15/SQRT($D15))</f>
        <v/>
      </c>
      <c r="AL15" s="7"/>
    </row>
    <row r="16" spans="1:73" x14ac:dyDescent="0.25">
      <c r="A16" s="17"/>
      <c r="B16" s="101"/>
      <c r="C16" s="91"/>
      <c r="D16" s="30"/>
      <c r="E16" s="30"/>
      <c r="F16" s="94"/>
      <c r="G16" s="93"/>
      <c r="H16" s="30"/>
      <c r="I16" s="30"/>
      <c r="J16" s="94"/>
      <c r="K16" s="93"/>
      <c r="L16" s="30"/>
      <c r="M16" s="30"/>
      <c r="N16" s="94"/>
      <c r="O16" s="93"/>
      <c r="P16" s="30"/>
      <c r="Q16" s="30"/>
      <c r="R16" s="94"/>
      <c r="S16" s="107"/>
      <c r="T16" s="107"/>
      <c r="U16" s="107"/>
      <c r="V16" s="107"/>
      <c r="W16" s="109"/>
      <c r="X16" s="44"/>
      <c r="Y16" s="77"/>
      <c r="Z16" s="110"/>
      <c r="AA16" s="7"/>
      <c r="AB16" s="118">
        <v>70</v>
      </c>
      <c r="AC16" s="7"/>
      <c r="AD16" s="126" t="str">
        <f>IF(ISBLANK('Power Calculator'!B16),"",(IF(C16="Narrow Band",'Narrow Band'!BC16,BB!BI16)+IF(S16="Yes",Lists!K30)+IF(T16="Yes",Lists!L30)+IF(U16="Yes",Lists!M30)+IF(V16="Yes",Lists!N30)+IF(W16="Yes",Lists!U38)))</f>
        <v/>
      </c>
      <c r="AE16" s="127" t="str">
        <f>IF(ISBLANK('Power Calculator'!B16),"",(IF(AB16&gt;0,AB16/AD16*1000/24,"")))</f>
        <v/>
      </c>
      <c r="AF16" s="132" t="str">
        <f>IF(ISBLANK('Power Calculator'!$B16),"",INDEX(Lists!$Z$4:$AA$13,MATCH(I16,Lists!$Y$4:$Y$13),IF($C16="Narrow Band",1,2)))</f>
        <v/>
      </c>
      <c r="AG16" s="89" t="str">
        <f>IF(ISBLANK('Power Calculator'!$B16),"",INDEX(Lists!$Z$4:$AA$13,MATCH(M16,Lists!$Y$4:$Y$13),IF($C16="Narrow Band",1,2)))</f>
        <v/>
      </c>
      <c r="AH16" s="127" t="str">
        <f>IF(ISBLANK('Power Calculator'!$B16),"",INDEX(Lists!$Z$4:$AA$13,MATCH(Q16,Lists!$Y$4:$Y$13),IF($C16="Narrow Band",1,2)))</f>
        <v/>
      </c>
      <c r="AI16" s="132" t="str">
        <f>IF(ISBLANK('Power Calculator'!$B16),"",AF16/SQRT($D16))</f>
        <v/>
      </c>
      <c r="AJ16" s="89" t="str">
        <f>IF(ISBLANK('Power Calculator'!$B16),"",AG16/SQRT($D16))</f>
        <v/>
      </c>
      <c r="AK16" s="127" t="str">
        <f>IF(ISBLANK('Power Calculator'!$B16),"",AH16/SQRT($D16))</f>
        <v/>
      </c>
      <c r="AL16" s="7"/>
    </row>
    <row r="17" spans="1:38" ht="15.75" thickBot="1" x14ac:dyDescent="0.3">
      <c r="A17" s="17"/>
      <c r="B17" s="102"/>
      <c r="C17" s="99"/>
      <c r="D17" s="96"/>
      <c r="E17" s="96"/>
      <c r="F17" s="97"/>
      <c r="G17" s="95"/>
      <c r="H17" s="96"/>
      <c r="I17" s="96"/>
      <c r="J17" s="97"/>
      <c r="K17" s="95"/>
      <c r="L17" s="96"/>
      <c r="M17" s="96"/>
      <c r="N17" s="97"/>
      <c r="O17" s="95"/>
      <c r="P17" s="96"/>
      <c r="Q17" s="96"/>
      <c r="R17" s="97"/>
      <c r="S17" s="108"/>
      <c r="T17" s="108"/>
      <c r="U17" s="108"/>
      <c r="V17" s="108"/>
      <c r="W17" s="111"/>
      <c r="X17" s="112"/>
      <c r="Y17" s="113"/>
      <c r="Z17" s="114"/>
      <c r="AA17" s="7"/>
      <c r="AB17" s="119">
        <v>70</v>
      </c>
      <c r="AC17" s="7"/>
      <c r="AD17" s="128" t="str">
        <f>IF(ISBLANK('Power Calculator'!B17),"",(IF(C17="Narrow Band",'Narrow Band'!BC17,BB!BI17)+IF(S17="Yes",Lists!K31)+IF(T17="Yes",Lists!L31)+IF(U17="Yes",Lists!M31)+IF(V17="Yes",Lists!N31)+IF(W17="Yes",Lists!U39)))</f>
        <v/>
      </c>
      <c r="AE17" s="129" t="str">
        <f>IF(ISBLANK('Power Calculator'!B17),"",(IF(AB17&gt;0,AB17/AD17*1000/24,"")))</f>
        <v/>
      </c>
      <c r="AF17" s="133" t="str">
        <f>IF(ISBLANK('Power Calculator'!$B17),"",INDEX(Lists!$Z$4:$AA$13,MATCH(I17,Lists!$Y$4:$Y$13),IF($C17="Narrow Band",1,2)))</f>
        <v/>
      </c>
      <c r="AG17" s="134" t="str">
        <f>IF(ISBLANK('Power Calculator'!$B17),"",INDEX(Lists!$Z$4:$AA$13,MATCH(M17,Lists!$Y$4:$Y$13),IF($C17="Narrow Band",1,2)))</f>
        <v/>
      </c>
      <c r="AH17" s="129" t="str">
        <f>IF(ISBLANK('Power Calculator'!$B17),"",INDEX(Lists!$Z$4:$AA$13,MATCH(Q17,Lists!$Y$4:$Y$13),IF($C17="Narrow Band",1,2)))</f>
        <v/>
      </c>
      <c r="AI17" s="133" t="str">
        <f>IF(ISBLANK('Power Calculator'!$B17),"",AF17/SQRT($D17))</f>
        <v/>
      </c>
      <c r="AJ17" s="134" t="str">
        <f>IF(ISBLANK('Power Calculator'!$B17),"",AG17/SQRT($D17))</f>
        <v/>
      </c>
      <c r="AK17" s="129" t="str">
        <f>IF(ISBLANK('Power Calculator'!$B17),"",AH17/SQRT($D17))</f>
        <v/>
      </c>
      <c r="AL17" s="7"/>
    </row>
    <row r="18" spans="1:38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hidden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38" hidden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38" hidden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38" hidden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38" hidden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38" hidden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38" hidden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38" hidden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38" hidden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38" hidden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38" hidden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38" hidden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38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idden="1" x14ac:dyDescent="0.25"/>
  </sheetData>
  <sheetProtection password="C64A" sheet="1" objects="1" scenarios="1" formatCells="0" formatColumns="0" formatRows="0" autoFilter="0" pivotTables="0"/>
  <mergeCells count="13">
    <mergeCell ref="A1:BU4"/>
    <mergeCell ref="B6:R7"/>
    <mergeCell ref="B8:R8"/>
    <mergeCell ref="G11:J11"/>
    <mergeCell ref="K11:N11"/>
    <mergeCell ref="O11:R11"/>
    <mergeCell ref="S10:Z10"/>
    <mergeCell ref="W11:Z11"/>
    <mergeCell ref="AF10:AH10"/>
    <mergeCell ref="AI10:AK10"/>
    <mergeCell ref="C11:F11"/>
    <mergeCell ref="C10:R10"/>
    <mergeCell ref="B10:B11"/>
  </mergeCells>
  <conditionalFormatting sqref="C13">
    <cfRule type="expression" dxfId="69" priority="168">
      <formula>ISBLANK($B13)</formula>
    </cfRule>
  </conditionalFormatting>
  <conditionalFormatting sqref="D13:K13">
    <cfRule type="expression" dxfId="68" priority="165">
      <formula>ISBLANK($B13)</formula>
    </cfRule>
  </conditionalFormatting>
  <conditionalFormatting sqref="O13">
    <cfRule type="expression" dxfId="67" priority="164">
      <formula>ISBLANK($B13)</formula>
    </cfRule>
  </conditionalFormatting>
  <conditionalFormatting sqref="L13 L13:N13 AG13 AJ13">
    <cfRule type="expression" dxfId="66" priority="145">
      <formula>OR($K13&lt;1,NOT(ISNUMBER($B13)))</formula>
    </cfRule>
  </conditionalFormatting>
  <conditionalFormatting sqref="M13:N13">
    <cfRule type="expression" dxfId="65" priority="144">
      <formula>OR($K13&lt;1,NOT(ISNUMBER($B13)))</formula>
    </cfRule>
  </conditionalFormatting>
  <conditionalFormatting sqref="P13 P13:R13 AH13 AK13">
    <cfRule type="expression" dxfId="64" priority="141">
      <formula>OR($O13&lt;1,NOT(ISNUMBER($B13)))</formula>
    </cfRule>
  </conditionalFormatting>
  <conditionalFormatting sqref="Q13:R13">
    <cfRule type="expression" dxfId="63" priority="140">
      <formula>OR($O13&lt;1,NOT(ISNUMBER($B13)))</formula>
    </cfRule>
  </conditionalFormatting>
  <conditionalFormatting sqref="S13">
    <cfRule type="expression" dxfId="62" priority="130">
      <formula>OR(S13="No",NOT(ISNUMBER($B13)))</formula>
    </cfRule>
  </conditionalFormatting>
  <conditionalFormatting sqref="T13:U13">
    <cfRule type="expression" dxfId="61" priority="128">
      <formula>OR(T13="No",NOT(ISNUMBER($B13)))</formula>
    </cfRule>
  </conditionalFormatting>
  <conditionalFormatting sqref="X13:Z13">
    <cfRule type="expression" dxfId="60" priority="126">
      <formula>OR($W13="No",NOT(ISNUMBER($B13)))</formula>
    </cfRule>
  </conditionalFormatting>
  <conditionalFormatting sqref="AD13:AD17">
    <cfRule type="expression" dxfId="59" priority="125">
      <formula>NOT(ISNUMBER($B13))</formula>
    </cfRule>
  </conditionalFormatting>
  <conditionalFormatting sqref="AE14:AE17">
    <cfRule type="expression" dxfId="58" priority="122">
      <formula>NOT(ISNUMBER($B14))</formula>
    </cfRule>
  </conditionalFormatting>
  <conditionalFormatting sqref="AE13:AH13">
    <cfRule type="expression" dxfId="57" priority="123">
      <formula>NOT(ISNUMBER($B13))</formula>
    </cfRule>
  </conditionalFormatting>
  <conditionalFormatting sqref="C14">
    <cfRule type="expression" dxfId="56" priority="111">
      <formula>ISBLANK($B14)</formula>
    </cfRule>
  </conditionalFormatting>
  <conditionalFormatting sqref="D14:K14">
    <cfRule type="expression" dxfId="55" priority="110">
      <formula>ISBLANK($B14)</formula>
    </cfRule>
  </conditionalFormatting>
  <conditionalFormatting sqref="O14">
    <cfRule type="expression" dxfId="54" priority="109">
      <formula>ISBLANK($B14)</formula>
    </cfRule>
  </conditionalFormatting>
  <conditionalFormatting sqref="L14">
    <cfRule type="expression" dxfId="53" priority="108">
      <formula>OR($K14&lt;1,NOT(ISNUMBER($B14)))</formula>
    </cfRule>
  </conditionalFormatting>
  <conditionalFormatting sqref="M14:N14">
    <cfRule type="expression" dxfId="52" priority="107">
      <formula>OR($K14&lt;1,NOT(ISNUMBER($B14)))</formula>
    </cfRule>
  </conditionalFormatting>
  <conditionalFormatting sqref="P14">
    <cfRule type="expression" dxfId="51" priority="106">
      <formula>OR($O14&lt;1,NOT(ISNUMBER($B14)))</formula>
    </cfRule>
  </conditionalFormatting>
  <conditionalFormatting sqref="Q14:R14">
    <cfRule type="expression" dxfId="50" priority="105">
      <formula>OR($O14&lt;1,NOT(ISNUMBER($B14)))</formula>
    </cfRule>
  </conditionalFormatting>
  <conditionalFormatting sqref="S14">
    <cfRule type="expression" dxfId="49" priority="104">
      <formula>OR(S14="No",NOT(ISNUMBER($B14)))</formula>
    </cfRule>
  </conditionalFormatting>
  <conditionalFormatting sqref="T14">
    <cfRule type="expression" dxfId="48" priority="103">
      <formula>OR(T14="No",NOT(ISNUMBER($B14)))</formula>
    </cfRule>
  </conditionalFormatting>
  <conditionalFormatting sqref="X14:Z14">
    <cfRule type="expression" dxfId="47" priority="102">
      <formula>OR($W14="No",NOT(ISNUMBER($B14)))</formula>
    </cfRule>
  </conditionalFormatting>
  <conditionalFormatting sqref="V13:W14">
    <cfRule type="expression" dxfId="46" priority="71">
      <formula>OR(V13="No",NOT(ISNUMBER($B13)))</formula>
    </cfRule>
  </conditionalFormatting>
  <conditionalFormatting sqref="U14">
    <cfRule type="expression" dxfId="45" priority="70">
      <formula>OR(U14="No",NOT(ISNUMBER($B14)))</formula>
    </cfRule>
  </conditionalFormatting>
  <conditionalFormatting sqref="AI13:AK13">
    <cfRule type="expression" dxfId="44" priority="65">
      <formula>NOT(ISNUMBER($B13))</formula>
    </cfRule>
  </conditionalFormatting>
  <conditionalFormatting sqref="AG14:AG17 AJ14:AJ17">
    <cfRule type="expression" dxfId="43" priority="63">
      <formula>OR($K14&lt;1,NOT(ISNUMBER($B14)))</formula>
    </cfRule>
  </conditionalFormatting>
  <conditionalFormatting sqref="AH14:AH17 AK14:AK17">
    <cfRule type="expression" dxfId="42" priority="62">
      <formula>OR($O14&lt;1,NOT(ISNUMBER($B14)))</formula>
    </cfRule>
  </conditionalFormatting>
  <conditionalFormatting sqref="AF14:AH17">
    <cfRule type="expression" dxfId="41" priority="61">
      <formula>NOT(ISNUMBER($B14))</formula>
    </cfRule>
  </conditionalFormatting>
  <conditionalFormatting sqref="AI14:AK17">
    <cfRule type="expression" dxfId="40" priority="60">
      <formula>NOT(ISNUMBER($B14))</formula>
    </cfRule>
  </conditionalFormatting>
  <conditionalFormatting sqref="C15">
    <cfRule type="expression" dxfId="39" priority="36">
      <formula>ISBLANK($B15)</formula>
    </cfRule>
  </conditionalFormatting>
  <conditionalFormatting sqref="D15:K15">
    <cfRule type="expression" dxfId="38" priority="35">
      <formula>ISBLANK($B15)</formula>
    </cfRule>
  </conditionalFormatting>
  <conditionalFormatting sqref="O15">
    <cfRule type="expression" dxfId="37" priority="34">
      <formula>ISBLANK($B15)</formula>
    </cfRule>
  </conditionalFormatting>
  <conditionalFormatting sqref="L15">
    <cfRule type="expression" dxfId="36" priority="33">
      <formula>OR($K15&lt;1,NOT(ISNUMBER($B15)))</formula>
    </cfRule>
  </conditionalFormatting>
  <conditionalFormatting sqref="M15:N15">
    <cfRule type="expression" dxfId="35" priority="32">
      <formula>OR($K15&lt;1,NOT(ISNUMBER($B15)))</formula>
    </cfRule>
  </conditionalFormatting>
  <conditionalFormatting sqref="P15">
    <cfRule type="expression" dxfId="34" priority="31">
      <formula>OR($O15&lt;1,NOT(ISNUMBER($B15)))</formula>
    </cfRule>
  </conditionalFormatting>
  <conditionalFormatting sqref="Q15:R15">
    <cfRule type="expression" dxfId="33" priority="30">
      <formula>OR($O15&lt;1,NOT(ISNUMBER($B15)))</formula>
    </cfRule>
  </conditionalFormatting>
  <conditionalFormatting sqref="S15">
    <cfRule type="expression" dxfId="32" priority="29">
      <formula>OR(S15="No",NOT(ISNUMBER($B15)))</formula>
    </cfRule>
  </conditionalFormatting>
  <conditionalFormatting sqref="T15">
    <cfRule type="expression" dxfId="31" priority="28">
      <formula>OR(T15="No",NOT(ISNUMBER($B15)))</formula>
    </cfRule>
  </conditionalFormatting>
  <conditionalFormatting sqref="X15:Z15">
    <cfRule type="expression" dxfId="30" priority="27">
      <formula>OR($W15="No",NOT(ISNUMBER($B15)))</formula>
    </cfRule>
  </conditionalFormatting>
  <conditionalFormatting sqref="V15:W15">
    <cfRule type="expression" dxfId="29" priority="26">
      <formula>OR(V15="No",NOT(ISNUMBER($B15)))</formula>
    </cfRule>
  </conditionalFormatting>
  <conditionalFormatting sqref="U15">
    <cfRule type="expression" dxfId="28" priority="25">
      <formula>OR(U15="No",NOT(ISNUMBER($B15)))</formula>
    </cfRule>
  </conditionalFormatting>
  <conditionalFormatting sqref="C16">
    <cfRule type="expression" dxfId="27" priority="24">
      <formula>ISBLANK($B16)</formula>
    </cfRule>
  </conditionalFormatting>
  <conditionalFormatting sqref="D16:K16">
    <cfRule type="expression" dxfId="26" priority="23">
      <formula>ISBLANK($B16)</formula>
    </cfRule>
  </conditionalFormatting>
  <conditionalFormatting sqref="O16">
    <cfRule type="expression" dxfId="25" priority="22">
      <formula>ISBLANK($B16)</formula>
    </cfRule>
  </conditionalFormatting>
  <conditionalFormatting sqref="L16">
    <cfRule type="expression" dxfId="24" priority="21">
      <formula>OR($K16&lt;1,NOT(ISNUMBER($B16)))</formula>
    </cfRule>
  </conditionalFormatting>
  <conditionalFormatting sqref="M16:N16">
    <cfRule type="expression" dxfId="23" priority="20">
      <formula>OR($K16&lt;1,NOT(ISNUMBER($B16)))</formula>
    </cfRule>
  </conditionalFormatting>
  <conditionalFormatting sqref="P16">
    <cfRule type="expression" dxfId="22" priority="19">
      <formula>OR($O16&lt;1,NOT(ISNUMBER($B16)))</formula>
    </cfRule>
  </conditionalFormatting>
  <conditionalFormatting sqref="Q16:R16">
    <cfRule type="expression" dxfId="21" priority="18">
      <formula>OR($O16&lt;1,NOT(ISNUMBER($B16)))</formula>
    </cfRule>
  </conditionalFormatting>
  <conditionalFormatting sqref="S16">
    <cfRule type="expression" dxfId="20" priority="17">
      <formula>OR(S16="No",NOT(ISNUMBER($B16)))</formula>
    </cfRule>
  </conditionalFormatting>
  <conditionalFormatting sqref="T16">
    <cfRule type="expression" dxfId="19" priority="16">
      <formula>OR(T16="No",NOT(ISNUMBER($B16)))</formula>
    </cfRule>
  </conditionalFormatting>
  <conditionalFormatting sqref="X16:Z16">
    <cfRule type="expression" dxfId="18" priority="15">
      <formula>OR($W16="No",NOT(ISNUMBER($B16)))</formula>
    </cfRule>
  </conditionalFormatting>
  <conditionalFormatting sqref="V16:W16">
    <cfRule type="expression" dxfId="17" priority="14">
      <formula>OR(V16="No",NOT(ISNUMBER($B16)))</formula>
    </cfRule>
  </conditionalFormatting>
  <conditionalFormatting sqref="U16">
    <cfRule type="expression" dxfId="16" priority="13">
      <formula>OR(U16="No",NOT(ISNUMBER($B16)))</formula>
    </cfRule>
  </conditionalFormatting>
  <conditionalFormatting sqref="C17">
    <cfRule type="expression" dxfId="15" priority="12">
      <formula>ISBLANK($B17)</formula>
    </cfRule>
  </conditionalFormatting>
  <conditionalFormatting sqref="D17:K17">
    <cfRule type="expression" dxfId="14" priority="11">
      <formula>ISBLANK($B17)</formula>
    </cfRule>
  </conditionalFormatting>
  <conditionalFormatting sqref="O17">
    <cfRule type="expression" dxfId="13" priority="10">
      <formula>ISBLANK($B17)</formula>
    </cfRule>
  </conditionalFormatting>
  <conditionalFormatting sqref="L17">
    <cfRule type="expression" dxfId="12" priority="9">
      <formula>OR($K17&lt;1,NOT(ISNUMBER($B17)))</formula>
    </cfRule>
  </conditionalFormatting>
  <conditionalFormatting sqref="M17:N17">
    <cfRule type="expression" dxfId="11" priority="8">
      <formula>OR($K17&lt;1,NOT(ISNUMBER($B17)))</formula>
    </cfRule>
  </conditionalFormatting>
  <conditionalFormatting sqref="P17">
    <cfRule type="expression" dxfId="10" priority="7">
      <formula>OR($O17&lt;1,NOT(ISNUMBER($B17)))</formula>
    </cfRule>
  </conditionalFormatting>
  <conditionalFormatting sqref="Q17:R17">
    <cfRule type="expression" dxfId="9" priority="6">
      <formula>OR($O17&lt;1,NOT(ISNUMBER($B17)))</formula>
    </cfRule>
  </conditionalFormatting>
  <conditionalFormatting sqref="S17">
    <cfRule type="expression" dxfId="8" priority="5">
      <formula>OR(S17="No",NOT(ISNUMBER($B17)))</formula>
    </cfRule>
  </conditionalFormatting>
  <conditionalFormatting sqref="T17">
    <cfRule type="expression" dxfId="7" priority="4">
      <formula>OR(T17="No",NOT(ISNUMBER($B17)))</formula>
    </cfRule>
  </conditionalFormatting>
  <conditionalFormatting sqref="X17:Z17">
    <cfRule type="expression" dxfId="6" priority="3">
      <formula>OR($W17="No",NOT(ISNUMBER($B17)))</formula>
    </cfRule>
  </conditionalFormatting>
  <conditionalFormatting sqref="V17:W17">
    <cfRule type="expression" dxfId="5" priority="2">
      <formula>OR(V17="No",NOT(ISNUMBER($B17)))</formula>
    </cfRule>
  </conditionalFormatting>
  <conditionalFormatting sqref="U17">
    <cfRule type="expression" dxfId="4" priority="1">
      <formula>OR(U17="No",NOT(ISNUMBER($B17)))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Lists!$B$2:$B$26</xm:f>
          </x14:formula1>
          <xm:sqref>O13:O17 K13:K17</xm:sqref>
        </x14:dataValidation>
        <x14:dataValidation type="list" allowBlank="1" showInputMessage="1" showErrorMessage="1">
          <x14:formula1>
            <xm:f>Lists!$E$3:$E$4</xm:f>
          </x14:formula1>
          <xm:sqref>F13:F17 J13:J17 N13:N17 R13:W17</xm:sqref>
        </x14:dataValidation>
        <x14:dataValidation type="list" allowBlank="1" showInputMessage="1" showErrorMessage="1">
          <x14:formula1>
            <xm:f>Lists!$J$4:$J$5</xm:f>
          </x14:formula1>
          <xm:sqref>X13:X17</xm:sqref>
        </x14:dataValidation>
        <x14:dataValidation type="list" allowBlank="1" showInputMessage="1" showErrorMessage="1">
          <x14:formula1>
            <xm:f>Lists!$N$4:$N$8</xm:f>
          </x14:formula1>
          <xm:sqref>Z13:Z17</xm:sqref>
        </x14:dataValidation>
        <x14:dataValidation type="list" allowBlank="1" showInputMessage="1" showErrorMessage="1">
          <x14:formula1>
            <xm:f>Lists!$F$2:$F$13</xm:f>
          </x14:formula1>
          <xm:sqref>B13:B17</xm:sqref>
        </x14:dataValidation>
        <x14:dataValidation type="list" allowBlank="1" showInputMessage="1" showErrorMessage="1">
          <x14:formula1>
            <xm:f>Lists!$G$2:$G$3</xm:f>
          </x14:formula1>
          <xm:sqref>C13:C17</xm:sqref>
        </x14:dataValidation>
        <x14:dataValidation type="list" allowBlank="1" showInputMessage="1" showErrorMessage="1">
          <x14:formula1>
            <xm:f>Lists!$R$4:$R$17</xm:f>
          </x14:formula1>
          <xm:sqref>Y13:Y17</xm:sqref>
        </x14:dataValidation>
        <x14:dataValidation type="list" allowBlank="1" showInputMessage="1" showErrorMessage="1">
          <x14:formula1>
            <xm:f>Lists!$A$3:$A$12</xm:f>
          </x14:formula1>
          <xm:sqref>Q13:Q17 M13:M17 I13:I17</xm:sqref>
        </x14:dataValidation>
        <x14:dataValidation type="list" allowBlank="1" showInputMessage="1" showErrorMessage="1">
          <x14:formula1>
            <xm:f>Lists!$D$3:$D$66</xm:f>
          </x14:formula1>
          <xm:sqref>L13:L17 H13:H17 P13:P17</xm:sqref>
        </x14:dataValidation>
        <x14:dataValidation type="list" allowBlank="1" showInputMessage="1" showErrorMessage="1">
          <x14:formula1>
            <xm:f>Lists!$C$3:$C$23</xm:f>
          </x14:formula1>
          <xm:sqref>D13:D17</xm:sqref>
        </x14:dataValidation>
        <x14:dataValidation type="list" allowBlank="1" showInputMessage="1" showErrorMessage="1">
          <x14:formula1>
            <xm:f>Lists!$B$3:$B$26</xm:f>
          </x14:formula1>
          <xm:sqref>G13:G17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B37"/>
  <sheetViews>
    <sheetView zoomScaleNormal="100" workbookViewId="0">
      <selection activeCell="B8" sqref="B8:Y8"/>
    </sheetView>
  </sheetViews>
  <sheetFormatPr defaultColWidth="0" defaultRowHeight="15" zeroHeight="1" x14ac:dyDescent="0.25"/>
  <cols>
    <col min="1" max="1" width="6" customWidth="1"/>
    <col min="2" max="5" width="9.140625" customWidth="1"/>
    <col min="6" max="7" width="9.140625" style="19" hidden="1" customWidth="1"/>
    <col min="8" max="8" width="9.140625" style="19" customWidth="1"/>
    <col min="9" max="9" width="12" bestFit="1" customWidth="1"/>
    <col min="10" max="10" width="9.140625" customWidth="1"/>
    <col min="11" max="11" width="11.42578125" customWidth="1"/>
    <col min="12" max="13" width="9.140625" style="19" hidden="1" customWidth="1"/>
    <col min="14" max="14" width="9.140625" style="19" customWidth="1"/>
    <col min="15" max="15" width="8.5703125" bestFit="1" customWidth="1"/>
    <col min="16" max="16" width="9.140625" customWidth="1"/>
    <col min="17" max="17" width="10.7109375" customWidth="1"/>
    <col min="18" max="18" width="9.140625" style="19" hidden="1" customWidth="1"/>
    <col min="19" max="19" width="1.85546875" style="19" hidden="1" customWidth="1"/>
    <col min="20" max="20" width="9.140625" style="19" customWidth="1"/>
    <col min="21" max="22" width="9.140625" customWidth="1"/>
    <col min="23" max="23" width="10.85546875" customWidth="1"/>
    <col min="24" max="53" width="9.140625" style="19" hidden="1" customWidth="1"/>
    <col min="54" max="54" width="4.5703125" customWidth="1"/>
    <col min="55" max="55" width="25.85546875" bestFit="1" customWidth="1"/>
    <col min="56" max="56" width="5.5703125" customWidth="1"/>
    <col min="57" max="106" width="0" hidden="1" customWidth="1"/>
    <col min="107" max="16384" width="9.140625" hidden="1"/>
  </cols>
  <sheetData>
    <row r="1" spans="1:100" ht="13.5" customHeight="1" x14ac:dyDescent="0.25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8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</row>
    <row r="2" spans="1:100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8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</row>
    <row r="3" spans="1:100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8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</row>
    <row r="4" spans="1:100" ht="36.75" customHeight="1" x14ac:dyDescent="0.25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8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</row>
    <row r="5" spans="1:100" x14ac:dyDescent="0.25">
      <c r="A5" s="7"/>
      <c r="B5" s="7"/>
      <c r="C5" s="7"/>
      <c r="D5" s="7"/>
      <c r="E5" s="7"/>
      <c r="H5" s="7"/>
      <c r="I5" s="7"/>
      <c r="J5" s="7"/>
      <c r="K5" s="7"/>
      <c r="N5" s="7"/>
      <c r="O5" s="7"/>
      <c r="P5" s="7"/>
      <c r="Q5" s="7"/>
      <c r="R5" s="7"/>
      <c r="S5" s="7"/>
      <c r="T5" s="7"/>
      <c r="U5" s="7"/>
      <c r="V5" s="7"/>
      <c r="W5" s="7"/>
      <c r="BB5" s="7"/>
      <c r="BC5" s="7"/>
      <c r="BD5" s="7"/>
    </row>
    <row r="6" spans="1:100" x14ac:dyDescent="0.25">
      <c r="A6" s="7"/>
      <c r="B6" s="137" t="s">
        <v>69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BB6" s="7"/>
      <c r="BC6" s="7"/>
      <c r="BD6" s="7"/>
    </row>
    <row r="7" spans="1:100" x14ac:dyDescent="0.25">
      <c r="A7" s="7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BB7" s="7"/>
      <c r="BC7" s="7"/>
      <c r="BD7" s="7"/>
    </row>
    <row r="8" spans="1:100" ht="23.25" x14ac:dyDescent="0.35">
      <c r="A8" s="7"/>
      <c r="B8" s="160" t="s">
        <v>70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20"/>
      <c r="BB8" s="7"/>
      <c r="BC8" s="7"/>
      <c r="BD8" s="7"/>
    </row>
    <row r="9" spans="1:100" ht="23.25" x14ac:dyDescent="0.35">
      <c r="A9" s="7"/>
      <c r="B9" s="8"/>
      <c r="C9" s="8"/>
      <c r="D9" s="8"/>
      <c r="E9" s="8"/>
      <c r="F9" s="20"/>
      <c r="G9" s="20"/>
      <c r="H9" s="79"/>
      <c r="I9" s="8"/>
      <c r="J9" s="8"/>
      <c r="K9" s="8"/>
      <c r="L9" s="20"/>
      <c r="M9" s="20"/>
      <c r="N9" s="79"/>
      <c r="O9" s="79"/>
      <c r="P9" s="79"/>
      <c r="Q9" s="79"/>
      <c r="R9" s="79"/>
      <c r="S9" s="79"/>
      <c r="T9" s="79"/>
      <c r="U9" s="8"/>
      <c r="V9" s="8"/>
      <c r="W9" s="8"/>
      <c r="X9" s="20"/>
      <c r="Y9" s="20"/>
      <c r="Z9" s="20"/>
      <c r="BB9" s="7"/>
      <c r="BC9" s="7"/>
      <c r="BD9" s="7"/>
    </row>
    <row r="10" spans="1:100" ht="15.75" x14ac:dyDescent="0.25">
      <c r="A10" s="7"/>
      <c r="B10" s="166" t="s">
        <v>71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8"/>
      <c r="X10" s="25"/>
      <c r="Y10" s="26"/>
      <c r="Z10" s="20"/>
      <c r="BB10" s="14"/>
      <c r="BC10" s="10" t="s">
        <v>77</v>
      </c>
      <c r="BD10" s="7"/>
    </row>
    <row r="11" spans="1:100" x14ac:dyDescent="0.25">
      <c r="A11" s="7"/>
      <c r="B11" s="162" t="s">
        <v>72</v>
      </c>
      <c r="C11" s="163"/>
      <c r="D11" s="163"/>
      <c r="E11" s="163"/>
      <c r="F11" s="164" t="s">
        <v>19</v>
      </c>
      <c r="G11" s="165"/>
      <c r="H11" s="162" t="s">
        <v>5</v>
      </c>
      <c r="I11" s="169"/>
      <c r="J11" s="169"/>
      <c r="K11" s="170"/>
      <c r="L11" s="24"/>
      <c r="M11" s="24"/>
      <c r="N11" s="162" t="s">
        <v>6</v>
      </c>
      <c r="O11" s="171"/>
      <c r="P11" s="171"/>
      <c r="Q11" s="172"/>
      <c r="R11" s="25"/>
      <c r="S11" s="25"/>
      <c r="T11" s="163" t="s">
        <v>7</v>
      </c>
      <c r="U11" s="169"/>
      <c r="V11" s="169"/>
      <c r="W11" s="170"/>
      <c r="X11" s="25"/>
      <c r="Y11" s="26"/>
      <c r="BB11" s="14"/>
      <c r="BC11" s="11" t="s">
        <v>78</v>
      </c>
      <c r="BD11" s="7"/>
    </row>
    <row r="12" spans="1:100" s="4" customFormat="1" ht="51.75" customHeight="1" x14ac:dyDescent="0.25">
      <c r="A12" s="17"/>
      <c r="B12" s="18" t="s">
        <v>63</v>
      </c>
      <c r="C12" s="18" t="s">
        <v>22</v>
      </c>
      <c r="D12" s="18" t="s">
        <v>65</v>
      </c>
      <c r="E12" s="18" t="s">
        <v>25</v>
      </c>
      <c r="F12" s="21" t="s">
        <v>13</v>
      </c>
      <c r="G12" s="21" t="s">
        <v>14</v>
      </c>
      <c r="H12" s="18" t="s">
        <v>23</v>
      </c>
      <c r="I12" s="18" t="s">
        <v>66</v>
      </c>
      <c r="J12" s="18" t="s">
        <v>82</v>
      </c>
      <c r="K12" s="18" t="s">
        <v>24</v>
      </c>
      <c r="L12" s="21" t="s">
        <v>13</v>
      </c>
      <c r="M12" s="21" t="s">
        <v>14</v>
      </c>
      <c r="N12" s="18" t="s">
        <v>23</v>
      </c>
      <c r="O12" s="18" t="s">
        <v>66</v>
      </c>
      <c r="P12" s="18" t="s">
        <v>82</v>
      </c>
      <c r="Q12" s="18" t="s">
        <v>24</v>
      </c>
      <c r="R12" s="21" t="s">
        <v>13</v>
      </c>
      <c r="S12" s="21" t="s">
        <v>14</v>
      </c>
      <c r="T12" s="18" t="s">
        <v>23</v>
      </c>
      <c r="U12" s="18" t="s">
        <v>66</v>
      </c>
      <c r="V12" s="18" t="s">
        <v>82</v>
      </c>
      <c r="W12" s="18" t="s">
        <v>24</v>
      </c>
      <c r="X12" s="21" t="s">
        <v>13</v>
      </c>
      <c r="Y12" s="21" t="s">
        <v>14</v>
      </c>
      <c r="Z12" s="21" t="s">
        <v>15</v>
      </c>
      <c r="AA12" s="21" t="s">
        <v>38</v>
      </c>
      <c r="AB12" s="21" t="s">
        <v>11</v>
      </c>
      <c r="AC12" s="21" t="s">
        <v>39</v>
      </c>
      <c r="AD12" s="21" t="s">
        <v>10</v>
      </c>
      <c r="AE12" s="21" t="s">
        <v>40</v>
      </c>
      <c r="AF12" s="21" t="s">
        <v>36</v>
      </c>
      <c r="AG12" s="21" t="s">
        <v>41</v>
      </c>
      <c r="AH12" s="21" t="s">
        <v>3</v>
      </c>
      <c r="AI12" s="21" t="s">
        <v>42</v>
      </c>
      <c r="AJ12" s="21" t="s">
        <v>12</v>
      </c>
      <c r="AK12" s="21" t="s">
        <v>18</v>
      </c>
      <c r="AL12" s="21" t="s">
        <v>17</v>
      </c>
      <c r="AM12" s="21" t="s">
        <v>16</v>
      </c>
      <c r="AN12" s="27" t="s">
        <v>2</v>
      </c>
      <c r="AO12" s="19" t="s">
        <v>28</v>
      </c>
      <c r="AP12" s="19" t="s">
        <v>29</v>
      </c>
      <c r="AQ12" s="19" t="s">
        <v>30</v>
      </c>
      <c r="AR12" s="19" t="s">
        <v>31</v>
      </c>
      <c r="AS12" s="19" t="s">
        <v>32</v>
      </c>
      <c r="AT12" s="19" t="s">
        <v>45</v>
      </c>
      <c r="AU12" s="19" t="s">
        <v>33</v>
      </c>
      <c r="AV12" s="19" t="s">
        <v>46</v>
      </c>
      <c r="AW12" s="19" t="s">
        <v>34</v>
      </c>
      <c r="AX12" s="19" t="s">
        <v>47</v>
      </c>
      <c r="AY12" s="19" t="s">
        <v>35</v>
      </c>
      <c r="AZ12" s="19" t="s">
        <v>48</v>
      </c>
      <c r="BA12" s="19" t="s">
        <v>37</v>
      </c>
      <c r="BB12" s="16"/>
      <c r="BC12" s="12" t="s">
        <v>79</v>
      </c>
      <c r="BD12" s="16"/>
    </row>
    <row r="13" spans="1:100" x14ac:dyDescent="0.25">
      <c r="A13" s="17"/>
      <c r="B13" s="30">
        <f>'Power Calculator'!B13</f>
        <v>10</v>
      </c>
      <c r="C13" s="30">
        <f>'Power Calculator'!D13</f>
        <v>150</v>
      </c>
      <c r="D13" s="30">
        <f>'Power Calculator'!E13</f>
        <v>50</v>
      </c>
      <c r="E13" s="30" t="str">
        <f>'Power Calculator'!F13</f>
        <v>No</v>
      </c>
      <c r="F13" s="80">
        <f>IF(E13="Yes",D13-2,0)</f>
        <v>0</v>
      </c>
      <c r="G13" s="80">
        <f>IF(E13="Yes",D13,0)</f>
        <v>0</v>
      </c>
      <c r="H13" s="30">
        <f>'Power Calculator'!G13</f>
        <v>2</v>
      </c>
      <c r="I13" s="30">
        <f>'Power Calculator'!H13</f>
        <v>2</v>
      </c>
      <c r="J13" s="30">
        <f>'Power Calculator'!I13</f>
        <v>2</v>
      </c>
      <c r="K13" s="30" t="str">
        <f>'Power Calculator'!J13</f>
        <v>No</v>
      </c>
      <c r="L13" s="80">
        <f>IF(K13="Yes",IF((D13-I13-J13*H13)&gt;2,D13-I13-J13*H13,2),I13)</f>
        <v>2</v>
      </c>
      <c r="M13" s="80">
        <f>IF(K13="Yes",D13,I13+J13*H13)</f>
        <v>6</v>
      </c>
      <c r="N13" s="30">
        <f>'Power Calculator'!K13</f>
        <v>0</v>
      </c>
      <c r="O13" s="30">
        <f>'Power Calculator'!L13</f>
        <v>1</v>
      </c>
      <c r="P13" s="30">
        <f>'Power Calculator'!M13</f>
        <v>1</v>
      </c>
      <c r="Q13" s="30" t="str">
        <f>'Power Calculator'!N13</f>
        <v>No</v>
      </c>
      <c r="R13" s="80">
        <f>IF(AND(Q13="Yes",N13&gt;0),(D13-O13-P13*N13),O13)</f>
        <v>1</v>
      </c>
      <c r="S13" s="80">
        <f>IF(AND(Q13="Yes",N13&gt;0),D13-O13,O13+P13*N13)</f>
        <v>1</v>
      </c>
      <c r="T13" s="30">
        <f>'Power Calculator'!O13</f>
        <v>0</v>
      </c>
      <c r="U13" s="30">
        <f>'Power Calculator'!P13</f>
        <v>2</v>
      </c>
      <c r="V13" s="30">
        <f>'Power Calculator'!Q13</f>
        <v>3</v>
      </c>
      <c r="W13" s="30" t="str">
        <f>'Power Calculator'!R13</f>
        <v>Yes</v>
      </c>
      <c r="X13" s="27">
        <f>IF(AND(W13="Yes",T13&gt;0),(D13-U13-V13*T13),U13)</f>
        <v>2</v>
      </c>
      <c r="Y13" s="27">
        <f>IF(AND(W13="Yes",T13&gt;0),D13-U13,U13+V13*T13)</f>
        <v>2</v>
      </c>
      <c r="Z13" s="27">
        <f>MAX(M13,S13,Y13,G13)-IF(MIN(L13,IF(N13&gt;0,R13,1000),IF(T13&gt;0,X13,1000))&lt;1,1,MIN(L13,IF(N13&gt;0,R13,1000),IF(T13&gt;0,X13,1000)))</f>
        <v>4</v>
      </c>
      <c r="AA13" s="27">
        <f>IF(J13=0.5,H13,0)+IF(P13=0.5,N13,0)+IF(V13=0.5,T13,0)</f>
        <v>0</v>
      </c>
      <c r="AB13" s="27">
        <f>IF(J13=1,H13,0)+IF(P13=1,N13,0)+IF(V13=1,T13,0)</f>
        <v>0</v>
      </c>
      <c r="AC13" s="27">
        <f>IF(J13=1.5,H13,0)+IF(P13=1.5,N13,0)+IF(V13=1.5,T13,0)</f>
        <v>0</v>
      </c>
      <c r="AD13" s="27">
        <f>IF(J13=2,H13,0)+IF(P13=2,N13,0)+IF(V13=2,T13,0)</f>
        <v>2</v>
      </c>
      <c r="AE13" s="27">
        <f>IF(J13=2.5,H13,0)+IF(P13=2.5,N13,0)+IF(V13=2.5,T13,0)</f>
        <v>0</v>
      </c>
      <c r="AF13" s="27">
        <f>IF(J13=3,H13,0)+IF(P13=3,N13,0)+IF(V13=3,T13,0)</f>
        <v>0</v>
      </c>
      <c r="AG13" s="27">
        <f>IF(J13=3.5,H13,0)+IF(P13=3.5,N13,0)+IF(V13=3.5,T13,0)</f>
        <v>0</v>
      </c>
      <c r="AH13" s="27">
        <f>IF(J13=4,H13,0)+IF(P13=4,N13,0)+IF(V13=4,T13,0)</f>
        <v>0</v>
      </c>
      <c r="AI13" s="27">
        <f>IF(J13=4.5,H13,0)+IF(P13=4.5,N13,0)+IF(V13=4.5,T13,0)</f>
        <v>0</v>
      </c>
      <c r="AJ13" s="27">
        <f>IF(J13=5,H13,0)+IF(P13=5,N13,0)+IF(V13=5,T13,0)</f>
        <v>0</v>
      </c>
      <c r="AK13" s="27">
        <f>MIN(IF(AB13&gt;0,1,5),IF(AD13&gt;0,2,5),IF(AF13&gt;0,3,5),IF(AH13&gt;0,4,5))</f>
        <v>2</v>
      </c>
      <c r="AL13" s="27">
        <f>(E13="Yes")+1+IF(N13&gt;0,1,0)+IF(T13&gt;0,1,0)</f>
        <v>1</v>
      </c>
      <c r="AM13" s="27">
        <f t="shared" ref="AM13:AM26" si="0">Amb+C13*(Coef3+Coef4*AK13)/B13+Coef5*Z13*C13/B13+Cell05*AA13*C13/B13+Cell1*AB13*C13/B13+Cell15*AC13*C13/B13+Cell2*AD13*C13/B13+Cell25*AE13*C13/B13+Cell3*AF13*C13/B13+Cell35*AG13*C13/B13+Cell4*AH13*C13/B13+Cell45*AI13*C13/B13+Cell5*AJ13*C13/B13</f>
        <v>8.1056992487684686E-3</v>
      </c>
      <c r="AN13" s="19">
        <v>6.9999999999999999E-4</v>
      </c>
      <c r="AO13" s="19">
        <f>0.0229351940065681/100</f>
        <v>2.2935194006568099E-4</v>
      </c>
      <c r="AP13" s="19">
        <f>0.0099317223316913/100</f>
        <v>9.9317223316913001E-5</v>
      </c>
      <c r="AQ13" s="19">
        <f>0.00185954444444445/(2*100)</f>
        <v>9.2977222222222507E-6</v>
      </c>
      <c r="AR13" s="19">
        <f>0.00101607940613027/100</f>
        <v>1.0160794061302701E-5</v>
      </c>
      <c r="AS13" s="19">
        <f>0.00114729674329502/100</f>
        <v>1.1472967432950201E-5</v>
      </c>
      <c r="AT13" s="19">
        <f t="shared" ref="AT13:AT26" si="1">AVERAGE(Cell1,Cell2)</f>
        <v>1.2870485632183901E-5</v>
      </c>
      <c r="AU13" s="19">
        <f>0.00142680038314176/100</f>
        <v>1.4268003831417601E-5</v>
      </c>
      <c r="AV13" s="19">
        <f t="shared" ref="AV13:AV26" si="2">AVERAGE(Cell2,Cell3)</f>
        <v>1.5645522030651349E-5</v>
      </c>
      <c r="AW13" s="19">
        <f>0.00170230402298851/100</f>
        <v>1.70230402298851E-5</v>
      </c>
      <c r="AX13" s="19">
        <f t="shared" ref="AX13:AX26" si="3">AVERAGE(Cell3,Cell4)</f>
        <v>2.4003992337164748E-5</v>
      </c>
      <c r="AY13" s="19">
        <f>0.00309849444444444/100</f>
        <v>3.0984944444444397E-5</v>
      </c>
      <c r="AZ13" s="19">
        <f t="shared" ref="AZ13:AZ26" si="4">AVERAGE(Cell4,Cell5)</f>
        <v>3.1063166666666644E-5</v>
      </c>
      <c r="BA13" s="19">
        <f>0.00311413888888889/100</f>
        <v>3.1141388888888898E-5</v>
      </c>
      <c r="BB13" s="7"/>
      <c r="BC13" s="13">
        <f t="shared" ref="BC13:BC26" si="5">IF(B13&gt;0,AM13*1200,"")</f>
        <v>9.7268390985221629</v>
      </c>
      <c r="BD13" s="7"/>
    </row>
    <row r="14" spans="1:100" x14ac:dyDescent="0.25">
      <c r="A14" s="17"/>
      <c r="B14" s="30">
        <f>'Power Calculator'!B14</f>
        <v>10</v>
      </c>
      <c r="C14" s="30">
        <f>'Power Calculator'!D14</f>
        <v>30</v>
      </c>
      <c r="D14" s="30">
        <f>'Power Calculator'!E14</f>
        <v>50</v>
      </c>
      <c r="E14" s="30" t="str">
        <f>'Power Calculator'!F14</f>
        <v>No</v>
      </c>
      <c r="F14" s="80">
        <f t="shared" ref="F14:F26" si="6">IF(E14="Yes",D14-2,0)</f>
        <v>0</v>
      </c>
      <c r="G14" s="80">
        <f t="shared" ref="G14:G26" si="7">IF(E14="Yes",D14,0)</f>
        <v>0</v>
      </c>
      <c r="H14" s="30">
        <f>'Power Calculator'!G14</f>
        <v>2</v>
      </c>
      <c r="I14" s="30">
        <f>'Power Calculator'!H14</f>
        <v>2</v>
      </c>
      <c r="J14" s="30">
        <f>'Power Calculator'!I14</f>
        <v>2</v>
      </c>
      <c r="K14" s="30" t="str">
        <f>'Power Calculator'!J14</f>
        <v>No</v>
      </c>
      <c r="L14" s="80">
        <f>IF(K14="Yes",IF((D14-I14-J14*H14)&gt;2,D14-I14-J14*H14,2),I14)</f>
        <v>2</v>
      </c>
      <c r="M14" s="80">
        <f>IF(K14="Yes",D14,I14+J14*H14)</f>
        <v>6</v>
      </c>
      <c r="N14" s="30">
        <f>'Power Calculator'!K14</f>
        <v>0</v>
      </c>
      <c r="O14" s="30">
        <f>'Power Calculator'!L14</f>
        <v>1</v>
      </c>
      <c r="P14" s="30">
        <f>'Power Calculator'!M14</f>
        <v>1</v>
      </c>
      <c r="Q14" s="30" t="str">
        <f>'Power Calculator'!N14</f>
        <v>No</v>
      </c>
      <c r="R14" s="80">
        <f t="shared" ref="R14:R17" si="8">IF(AND(Q14="Yes",N14&gt;0),(D14-O14-P14*N14),O14)</f>
        <v>1</v>
      </c>
      <c r="S14" s="80">
        <f t="shared" ref="S14:S17" si="9">IF(AND(Q14="Yes",N14&gt;0),D14-O14,O14+P14*N14)</f>
        <v>1</v>
      </c>
      <c r="T14" s="30">
        <f>'Power Calculator'!O14</f>
        <v>0</v>
      </c>
      <c r="U14" s="30">
        <f>'Power Calculator'!P14</f>
        <v>2</v>
      </c>
      <c r="V14" s="30">
        <f>'Power Calculator'!Q14</f>
        <v>2</v>
      </c>
      <c r="W14" s="30" t="str">
        <f>'Power Calculator'!R14</f>
        <v>Yes</v>
      </c>
      <c r="X14" s="27">
        <f>IF(AND(W14="Yes",T14&gt;0),(D14-U14-V14*T14),U14)</f>
        <v>2</v>
      </c>
      <c r="Y14" s="27">
        <f>IF(AND(W14="Yes",T14&gt;0),D14-U14,U14+V14*T14)</f>
        <v>2</v>
      </c>
      <c r="Z14" s="27">
        <f>MAX(M14,S14,Y14,G14)-IF(MIN(L14,IF(N14&gt;0,R14,1000),IF(T14&gt;0,X14,1000))&lt;1,1,MIN(L14,IF(N14&gt;0,R14,1000),IF(T14&gt;0,X14,1000)))</f>
        <v>4</v>
      </c>
      <c r="AA14" s="27">
        <f>IF(J14=0.5,H14,0)+IF(P14=0.5,N14,0)+IF(V14=0.5,T14,0)</f>
        <v>0</v>
      </c>
      <c r="AB14" s="27">
        <f>IF(J14=1,H14,0)+IF(P14=1,N14,0)+IF(V14=1,T14,0)</f>
        <v>0</v>
      </c>
      <c r="AC14" s="27">
        <f>IF(J14=1.5,H14,0)+IF(P14=1.5,N14,0)+IF(V14=1.5,T14,0)</f>
        <v>0</v>
      </c>
      <c r="AD14" s="27">
        <f>IF(J14=2,H14,0)+IF(P14=2,N14,0)+IF(V14=2,T14,0)</f>
        <v>2</v>
      </c>
      <c r="AE14" s="27">
        <f>IF(J14=2.5,H14,0)+IF(P14=2.5,N14,0)+IF(V14=2.5,T14,0)</f>
        <v>0</v>
      </c>
      <c r="AF14" s="27">
        <f>IF(J14=3,H14,0)+IF(P14=3,N14,0)+IF(V14=3,T14,0)</f>
        <v>0</v>
      </c>
      <c r="AG14" s="27">
        <f>IF(J14=3.5,H14,0)+IF(P14=3.5,N14,0)+IF(V14=3.5,T14,0)</f>
        <v>0</v>
      </c>
      <c r="AH14" s="27">
        <f>IF(J14=4,H14,0)+IF(P14=4,N14,0)+IF(V14=4,T14,0)</f>
        <v>0</v>
      </c>
      <c r="AI14" s="27">
        <f>IF(J14=4.5,H14,0)+IF(P14=4.5,N14,0)+IF(V14=4.5,T14,0)</f>
        <v>0</v>
      </c>
      <c r="AJ14" s="27">
        <f>IF(J14=5,H14,0)+IF(P14=5,N14,0)+IF(V14=5,T14,0)</f>
        <v>0</v>
      </c>
      <c r="AK14" s="27">
        <f t="shared" ref="AK14:AK26" si="10">MIN(IF(AB14&gt;0,1,5),IF(AD14&gt;0,2,5),IF(AF14&gt;0,3,5),IF(AH14&gt;0,4,5))</f>
        <v>2</v>
      </c>
      <c r="AL14" s="27">
        <f>(E14="Yes")+1+IF(N14&gt;0,1,0)+IF(T14&gt;0,1,0)</f>
        <v>1</v>
      </c>
      <c r="AM14" s="27">
        <f t="shared" si="0"/>
        <v>2.181139849753694E-3</v>
      </c>
      <c r="AN14" s="19">
        <v>1.0006999999999999</v>
      </c>
      <c r="AO14" s="19">
        <f t="shared" ref="AO14:AO26" si="11">0.0229351940065681/100</f>
        <v>2.2935194006568099E-4</v>
      </c>
      <c r="AP14" s="19">
        <f t="shared" ref="AP14:AP26" si="12">0.0099317223316913/100</f>
        <v>9.9317223316913001E-5</v>
      </c>
      <c r="AQ14" s="19">
        <f t="shared" ref="AQ14:AQ26" si="13">0.00185954444444445/(2*100)</f>
        <v>9.2977222222222507E-6</v>
      </c>
      <c r="AR14" s="19">
        <f t="shared" ref="AR14:AR26" si="14">0.00101607940613027/100</f>
        <v>1.0160794061302701E-5</v>
      </c>
      <c r="AS14" s="19">
        <f t="shared" ref="AS14:AS26" si="15">0.00114729674329502/100</f>
        <v>1.1472967432950201E-5</v>
      </c>
      <c r="AT14" s="19">
        <f t="shared" si="1"/>
        <v>1.2870485632183901E-5</v>
      </c>
      <c r="AU14" s="19">
        <f t="shared" ref="AU14:AU26" si="16">0.00142680038314176/100</f>
        <v>1.4268003831417601E-5</v>
      </c>
      <c r="AV14" s="19">
        <f t="shared" si="2"/>
        <v>1.5645522030651349E-5</v>
      </c>
      <c r="AW14" s="19">
        <f t="shared" ref="AW14:AW26" si="17">0.00170230402298851/100</f>
        <v>1.70230402298851E-5</v>
      </c>
      <c r="AX14" s="19">
        <f t="shared" si="3"/>
        <v>2.4003992337164748E-5</v>
      </c>
      <c r="AY14" s="19">
        <f t="shared" ref="AY14:AY26" si="18">0.00309849444444444/100</f>
        <v>3.0984944444444397E-5</v>
      </c>
      <c r="AZ14" s="19">
        <f t="shared" si="4"/>
        <v>3.1063166666666644E-5</v>
      </c>
      <c r="BA14" s="19">
        <f t="shared" ref="BA14:BA26" si="19">0.00311413888888889/100</f>
        <v>3.1141388888888898E-5</v>
      </c>
      <c r="BB14" s="7"/>
      <c r="BC14" s="13">
        <f t="shared" si="5"/>
        <v>2.6173678197044326</v>
      </c>
      <c r="BD14" s="7"/>
    </row>
    <row r="15" spans="1:100" x14ac:dyDescent="0.25">
      <c r="A15" s="17"/>
      <c r="B15" s="30">
        <f>'Power Calculator'!B15</f>
        <v>0</v>
      </c>
      <c r="C15" s="30">
        <f>'Power Calculator'!D15</f>
        <v>0</v>
      </c>
      <c r="D15" s="30">
        <f>'Power Calculator'!E15</f>
        <v>0</v>
      </c>
      <c r="E15" s="30">
        <f>'Power Calculator'!F15</f>
        <v>0</v>
      </c>
      <c r="F15" s="80">
        <f t="shared" si="6"/>
        <v>0</v>
      </c>
      <c r="G15" s="80">
        <f t="shared" si="7"/>
        <v>0</v>
      </c>
      <c r="H15" s="30">
        <f>'Power Calculator'!G15</f>
        <v>0</v>
      </c>
      <c r="I15" s="30">
        <f>'Power Calculator'!H15</f>
        <v>0</v>
      </c>
      <c r="J15" s="30">
        <f>'Power Calculator'!I15</f>
        <v>0</v>
      </c>
      <c r="K15" s="30">
        <f>'Power Calculator'!J15</f>
        <v>0</v>
      </c>
      <c r="L15" s="80">
        <f>IF(K15="Yes",IF((D15-I15-J15*H15)&gt;2,D15-I15-J15*H15,2),I15)</f>
        <v>0</v>
      </c>
      <c r="M15" s="80">
        <f>IF(K15="Yes",D15,I15+J15*H15)</f>
        <v>0</v>
      </c>
      <c r="N15" s="30">
        <f>'Power Calculator'!K15</f>
        <v>0</v>
      </c>
      <c r="O15" s="30">
        <f>'Power Calculator'!L15</f>
        <v>0</v>
      </c>
      <c r="P15" s="30">
        <v>1</v>
      </c>
      <c r="Q15" s="30">
        <f>'Power Calculator'!N15</f>
        <v>0</v>
      </c>
      <c r="R15" s="80">
        <f t="shared" si="8"/>
        <v>0</v>
      </c>
      <c r="S15" s="80">
        <f t="shared" si="9"/>
        <v>0</v>
      </c>
      <c r="T15" s="30">
        <f>'Power Calculator'!O15</f>
        <v>0</v>
      </c>
      <c r="U15" s="30">
        <f>'Power Calculator'!P15</f>
        <v>0</v>
      </c>
      <c r="V15" s="30">
        <f>'Power Calculator'!Q15</f>
        <v>0</v>
      </c>
      <c r="W15" s="30">
        <f>'Power Calculator'!R15</f>
        <v>0</v>
      </c>
      <c r="X15" s="27">
        <f>IF(AND(W15="Yes",T15&gt;0),(D15-U15-V15*T15),U15)</f>
        <v>0</v>
      </c>
      <c r="Y15" s="27">
        <f>IF(AND(W15="Yes",T15&gt;0),D15-U15,U15+V15*T15)</f>
        <v>0</v>
      </c>
      <c r="Z15" s="27">
        <f>MAX(M15,S15,Y15,G15)-IF(MIN(L15,IF(N15&gt;0,R15,1000),IF(T15&gt;0,X15,1000))&lt;1,1,MIN(L15,IF(N15&gt;0,R15,1000),IF(T15&gt;0,X15,1000)))</f>
        <v>-1</v>
      </c>
      <c r="AA15" s="27">
        <f>IF(J15=0.5,H15,0)+IF(P15=0.5,N15,0)+IF(V15=0.5,T15,0)</f>
        <v>0</v>
      </c>
      <c r="AB15" s="27">
        <f>IF(J15=1,H15,0)+IF(P15=1,N15,0)+IF(V15=1,T15,0)</f>
        <v>0</v>
      </c>
      <c r="AC15" s="27">
        <f>IF(J15=1.5,H15,0)+IF(P15=1.5,N15,0)+IF(V15=1.5,T15,0)</f>
        <v>0</v>
      </c>
      <c r="AD15" s="27">
        <f>IF(J15=2,H15,0)+IF(P15=2,N15,0)+IF(V15=2,T15,0)</f>
        <v>0</v>
      </c>
      <c r="AE15" s="27">
        <f>IF(J15=2.5,H15,0)+IF(P15=2.5,N15,0)+IF(V15=2.5,T15,0)</f>
        <v>0</v>
      </c>
      <c r="AF15" s="27">
        <f>IF(J15=3,H15,0)+IF(P15=3,N15,0)+IF(V15=3,T15,0)</f>
        <v>0</v>
      </c>
      <c r="AG15" s="27">
        <f>IF(J15=3.5,H15,0)+IF(P15=3.5,N15,0)+IF(V15=3.5,T15,0)</f>
        <v>0</v>
      </c>
      <c r="AH15" s="27">
        <f>IF(J15=4,H15,0)+IF(P15=4,N15,0)+IF(V15=4,T15,0)</f>
        <v>0</v>
      </c>
      <c r="AI15" s="27">
        <f>IF(J15=4.5,H15,0)+IF(P15=4.5,N15,0)+IF(V15=4.5,T15,0)</f>
        <v>0</v>
      </c>
      <c r="AJ15" s="27">
        <f>IF(J15=5,H15,0)+IF(P15=5,N15,0)+IF(V15=5,T15,0)</f>
        <v>0</v>
      </c>
      <c r="AK15" s="27">
        <f t="shared" si="10"/>
        <v>5</v>
      </c>
      <c r="AL15" s="27">
        <f>(E15="Yes")+1+IF(N15&gt;0,1,0)+IF(T15&gt;0,1,0)</f>
        <v>1</v>
      </c>
      <c r="AM15" s="27" t="e">
        <f t="shared" si="0"/>
        <v>#DIV/0!</v>
      </c>
      <c r="AN15" s="19">
        <v>2.0007000000000001</v>
      </c>
      <c r="AO15" s="19">
        <f t="shared" si="11"/>
        <v>2.2935194006568099E-4</v>
      </c>
      <c r="AP15" s="19">
        <f t="shared" si="12"/>
        <v>9.9317223316913001E-5</v>
      </c>
      <c r="AQ15" s="19">
        <f t="shared" si="13"/>
        <v>9.2977222222222507E-6</v>
      </c>
      <c r="AR15" s="19">
        <f t="shared" si="14"/>
        <v>1.0160794061302701E-5</v>
      </c>
      <c r="AS15" s="19">
        <f t="shared" si="15"/>
        <v>1.1472967432950201E-5</v>
      </c>
      <c r="AT15" s="19">
        <f t="shared" si="1"/>
        <v>1.2870485632183901E-5</v>
      </c>
      <c r="AU15" s="19">
        <f t="shared" si="16"/>
        <v>1.4268003831417601E-5</v>
      </c>
      <c r="AV15" s="19">
        <f t="shared" si="2"/>
        <v>1.5645522030651349E-5</v>
      </c>
      <c r="AW15" s="19">
        <f t="shared" si="17"/>
        <v>1.70230402298851E-5</v>
      </c>
      <c r="AX15" s="19">
        <f t="shared" si="3"/>
        <v>2.4003992337164748E-5</v>
      </c>
      <c r="AY15" s="19">
        <f t="shared" si="18"/>
        <v>3.0984944444444397E-5</v>
      </c>
      <c r="AZ15" s="19">
        <f t="shared" si="4"/>
        <v>3.1063166666666644E-5</v>
      </c>
      <c r="BA15" s="19">
        <f t="shared" si="19"/>
        <v>3.1141388888888898E-5</v>
      </c>
      <c r="BB15" s="7"/>
      <c r="BC15" s="13" t="str">
        <f t="shared" si="5"/>
        <v/>
      </c>
      <c r="BD15" s="7"/>
    </row>
    <row r="16" spans="1:100" x14ac:dyDescent="0.25">
      <c r="A16" s="17"/>
      <c r="B16" s="30">
        <f>'Power Calculator'!B16</f>
        <v>0</v>
      </c>
      <c r="C16" s="30">
        <f>'Power Calculator'!D16</f>
        <v>0</v>
      </c>
      <c r="D16" s="30">
        <f>'Power Calculator'!E16</f>
        <v>0</v>
      </c>
      <c r="E16" s="30">
        <f>'Power Calculator'!F16</f>
        <v>0</v>
      </c>
      <c r="F16" s="80">
        <f t="shared" si="6"/>
        <v>0</v>
      </c>
      <c r="G16" s="80">
        <f t="shared" si="7"/>
        <v>0</v>
      </c>
      <c r="H16" s="30">
        <f>'Power Calculator'!G16</f>
        <v>0</v>
      </c>
      <c r="I16" s="30">
        <f>'Power Calculator'!H16</f>
        <v>0</v>
      </c>
      <c r="J16" s="30">
        <f>'Power Calculator'!I16</f>
        <v>0</v>
      </c>
      <c r="K16" s="30">
        <f>'Power Calculator'!J16</f>
        <v>0</v>
      </c>
      <c r="L16" s="80">
        <f>IF(K16="Yes",IF((D16-I16-J16*H16)&gt;2,D16-I16-J16*H16,2),I16)</f>
        <v>0</v>
      </c>
      <c r="M16" s="80">
        <f>IF(K16="Yes",D16,I16+J16*H16)</f>
        <v>0</v>
      </c>
      <c r="N16" s="30">
        <f>'Power Calculator'!K16</f>
        <v>0</v>
      </c>
      <c r="O16" s="30">
        <f>'Power Calculator'!L16</f>
        <v>0</v>
      </c>
      <c r="P16" s="30">
        <v>1</v>
      </c>
      <c r="Q16" s="30">
        <f>'Power Calculator'!N16</f>
        <v>0</v>
      </c>
      <c r="R16" s="80">
        <f t="shared" si="8"/>
        <v>0</v>
      </c>
      <c r="S16" s="80">
        <f t="shared" si="9"/>
        <v>0</v>
      </c>
      <c r="T16" s="30">
        <f>'Power Calculator'!O16</f>
        <v>0</v>
      </c>
      <c r="U16" s="30">
        <f>'Power Calculator'!P16</f>
        <v>0</v>
      </c>
      <c r="V16" s="30">
        <f>'Power Calculator'!Q16</f>
        <v>0</v>
      </c>
      <c r="W16" s="30">
        <f>'Power Calculator'!R16</f>
        <v>0</v>
      </c>
      <c r="X16" s="27">
        <f>IF(AND(W16="Yes",T16&gt;0),(D16-U16-V16*T16),U16)</f>
        <v>0</v>
      </c>
      <c r="Y16" s="27">
        <f>IF(AND(W16="Yes",T16&gt;0),D16-U16,U16+V16*T16)</f>
        <v>0</v>
      </c>
      <c r="Z16" s="27">
        <f>MAX(M16,S16,Y16,G16)-IF(MIN(L16,IF(N16&gt;0,R16,1000),IF(T16&gt;0,X16,1000))&lt;1,1,MIN(L16,IF(N16&gt;0,R16,1000),IF(T16&gt;0,X16,1000)))</f>
        <v>-1</v>
      </c>
      <c r="AA16" s="27">
        <f>IF(J16=0.5,H16,0)+IF(P16=0.5,N16,0)+IF(V16=0.5,T16,0)</f>
        <v>0</v>
      </c>
      <c r="AB16" s="27">
        <f>IF(J16=1,H16,0)+IF(P16=1,N16,0)+IF(V16=1,T16,0)</f>
        <v>0</v>
      </c>
      <c r="AC16" s="27">
        <f>IF(J16=1.5,H16,0)+IF(P16=1.5,N16,0)+IF(V16=1.5,T16,0)</f>
        <v>0</v>
      </c>
      <c r="AD16" s="27">
        <f>IF(J16=2,H16,0)+IF(P16=2,N16,0)+IF(V16=2,T16,0)</f>
        <v>0</v>
      </c>
      <c r="AE16" s="27">
        <f>IF(J16=2.5,H16,0)+IF(P16=2.5,N16,0)+IF(V16=2.5,T16,0)</f>
        <v>0</v>
      </c>
      <c r="AF16" s="27">
        <f>IF(J16=3,H16,0)+IF(P16=3,N16,0)+IF(V16=3,T16,0)</f>
        <v>0</v>
      </c>
      <c r="AG16" s="27">
        <f>IF(J16=3.5,H16,0)+IF(P16=3.5,N16,0)+IF(V16=3.5,T16,0)</f>
        <v>0</v>
      </c>
      <c r="AH16" s="27">
        <f>IF(J16=4,H16,0)+IF(P16=4,N16,0)+IF(V16=4,T16,0)</f>
        <v>0</v>
      </c>
      <c r="AI16" s="27">
        <f>IF(J16=4.5,H16,0)+IF(P16=4.5,N16,0)+IF(V16=4.5,T16,0)</f>
        <v>0</v>
      </c>
      <c r="AJ16" s="27">
        <f>IF(J16=5,H16,0)+IF(P16=5,N16,0)+IF(V16=5,T16,0)</f>
        <v>0</v>
      </c>
      <c r="AK16" s="27">
        <f t="shared" si="10"/>
        <v>5</v>
      </c>
      <c r="AL16" s="27">
        <f>(E16="Yes")+1+IF(N16&gt;0,1,0)+IF(T16&gt;0,1,0)</f>
        <v>1</v>
      </c>
      <c r="AM16" s="27" t="e">
        <f t="shared" si="0"/>
        <v>#DIV/0!</v>
      </c>
      <c r="AN16" s="19">
        <v>3.0007000000000001</v>
      </c>
      <c r="AO16" s="19">
        <f t="shared" si="11"/>
        <v>2.2935194006568099E-4</v>
      </c>
      <c r="AP16" s="19">
        <f t="shared" si="12"/>
        <v>9.9317223316913001E-5</v>
      </c>
      <c r="AQ16" s="19">
        <f t="shared" si="13"/>
        <v>9.2977222222222507E-6</v>
      </c>
      <c r="AR16" s="19">
        <f t="shared" si="14"/>
        <v>1.0160794061302701E-5</v>
      </c>
      <c r="AS16" s="19">
        <f t="shared" si="15"/>
        <v>1.1472967432950201E-5</v>
      </c>
      <c r="AT16" s="19">
        <f t="shared" si="1"/>
        <v>1.2870485632183901E-5</v>
      </c>
      <c r="AU16" s="19">
        <f t="shared" si="16"/>
        <v>1.4268003831417601E-5</v>
      </c>
      <c r="AV16" s="19">
        <f t="shared" si="2"/>
        <v>1.5645522030651349E-5</v>
      </c>
      <c r="AW16" s="19">
        <f t="shared" si="17"/>
        <v>1.70230402298851E-5</v>
      </c>
      <c r="AX16" s="19">
        <f t="shared" si="3"/>
        <v>2.4003992337164748E-5</v>
      </c>
      <c r="AY16" s="19">
        <f t="shared" si="18"/>
        <v>3.0984944444444397E-5</v>
      </c>
      <c r="AZ16" s="19">
        <f t="shared" si="4"/>
        <v>3.1063166666666644E-5</v>
      </c>
      <c r="BA16" s="19">
        <f t="shared" si="19"/>
        <v>3.1141388888888898E-5</v>
      </c>
      <c r="BB16" s="7"/>
      <c r="BC16" s="13" t="str">
        <f t="shared" si="5"/>
        <v/>
      </c>
      <c r="BD16" s="7"/>
    </row>
    <row r="17" spans="1:56" x14ac:dyDescent="0.25">
      <c r="A17" s="17"/>
      <c r="B17" s="30">
        <f>'Power Calculator'!B17</f>
        <v>0</v>
      </c>
      <c r="C17" s="30">
        <f>'Power Calculator'!D17</f>
        <v>0</v>
      </c>
      <c r="D17" s="30">
        <f>'Power Calculator'!E17</f>
        <v>0</v>
      </c>
      <c r="E17" s="30">
        <f>'Power Calculator'!F17</f>
        <v>0</v>
      </c>
      <c r="F17" s="80">
        <f t="shared" si="6"/>
        <v>0</v>
      </c>
      <c r="G17" s="80">
        <f t="shared" si="7"/>
        <v>0</v>
      </c>
      <c r="H17" s="30">
        <f>'Power Calculator'!G17</f>
        <v>0</v>
      </c>
      <c r="I17" s="30">
        <f>'Power Calculator'!H17</f>
        <v>0</v>
      </c>
      <c r="J17" s="30">
        <f>'Power Calculator'!I17</f>
        <v>0</v>
      </c>
      <c r="K17" s="30">
        <f>'Power Calculator'!J17</f>
        <v>0</v>
      </c>
      <c r="L17" s="80">
        <f>IF(K17="Yes",IF((D17-I17-J17*H17)&gt;2,D17-I17-J17*H17,2),I17)</f>
        <v>0</v>
      </c>
      <c r="M17" s="80">
        <f>IF(K17="Yes",D17,I17+J17*H17)</f>
        <v>0</v>
      </c>
      <c r="N17" s="30">
        <f>'Power Calculator'!K17</f>
        <v>0</v>
      </c>
      <c r="O17" s="30">
        <f>'Power Calculator'!L17</f>
        <v>0</v>
      </c>
      <c r="P17" s="30">
        <f>'Power Calculator'!M17</f>
        <v>0</v>
      </c>
      <c r="Q17" s="30">
        <f>'Power Calculator'!N17</f>
        <v>0</v>
      </c>
      <c r="R17" s="80">
        <f t="shared" si="8"/>
        <v>0</v>
      </c>
      <c r="S17" s="80">
        <f t="shared" si="9"/>
        <v>0</v>
      </c>
      <c r="T17" s="30">
        <f>'Power Calculator'!O17</f>
        <v>0</v>
      </c>
      <c r="U17" s="30">
        <f>'Power Calculator'!P17</f>
        <v>0</v>
      </c>
      <c r="V17" s="30">
        <f>'Power Calculator'!Q17</f>
        <v>0</v>
      </c>
      <c r="W17" s="30">
        <f>'Power Calculator'!R17</f>
        <v>0</v>
      </c>
      <c r="X17" s="27">
        <f>IF(AND(W17="Yes",T17&gt;0),(D17-U17-V17*T17),U17)</f>
        <v>0</v>
      </c>
      <c r="Y17" s="27">
        <f>IF(AND(W17="Yes",T17&gt;0),D17-U17,U17+V17*T17)</f>
        <v>0</v>
      </c>
      <c r="Z17" s="27">
        <f>MAX(M17,S17,Y17,G17)-IF(MIN(L17,IF(N17&gt;0,R17,1000),IF(T17&gt;0,X17,1000))&lt;1,1,MIN(L17,IF(N17&gt;0,R17,1000),IF(T17&gt;0,X17,1000)))</f>
        <v>-1</v>
      </c>
      <c r="AA17" s="27">
        <f>IF(J17=0.5,H17,0)+IF(P17=0.5,N17,0)+IF(V17=0.5,T17,0)</f>
        <v>0</v>
      </c>
      <c r="AB17" s="27">
        <f>IF(J17=1,H17,0)+IF(P17=1,N17,0)+IF(V17=1,T17,0)</f>
        <v>0</v>
      </c>
      <c r="AC17" s="27">
        <f>IF(J17=1.5,H17,0)+IF(P17=1.5,N17,0)+IF(V17=1.5,T17,0)</f>
        <v>0</v>
      </c>
      <c r="AD17" s="27">
        <f>IF(J17=2,H17,0)+IF(P17=2,N17,0)+IF(V17=2,T17,0)</f>
        <v>0</v>
      </c>
      <c r="AE17" s="27">
        <f>IF(J17=2.5,H17,0)+IF(P17=2.5,N17,0)+IF(V17=2.5,T17,0)</f>
        <v>0</v>
      </c>
      <c r="AF17" s="27">
        <f>IF(J17=3,H17,0)+IF(P17=3,N17,0)+IF(V17=3,T17,0)</f>
        <v>0</v>
      </c>
      <c r="AG17" s="27">
        <f>IF(J17=3.5,H17,0)+IF(P17=3.5,N17,0)+IF(V17=3.5,T17,0)</f>
        <v>0</v>
      </c>
      <c r="AH17" s="27">
        <f>IF(J17=4,H17,0)+IF(P17=4,N17,0)+IF(V17=4,T17,0)</f>
        <v>0</v>
      </c>
      <c r="AI17" s="27">
        <f>IF(J17=4.5,H17,0)+IF(P17=4.5,N17,0)+IF(V17=4.5,T17,0)</f>
        <v>0</v>
      </c>
      <c r="AJ17" s="27">
        <f>IF(J17=5,H17,0)+IF(P17=5,N17,0)+IF(V17=5,T17,0)</f>
        <v>0</v>
      </c>
      <c r="AK17" s="27">
        <f t="shared" si="10"/>
        <v>5</v>
      </c>
      <c r="AL17" s="27">
        <f>(E17="Yes")+1+IF(N17&gt;0,1,0)+IF(T17&gt;0,1,0)</f>
        <v>1</v>
      </c>
      <c r="AM17" s="27" t="e">
        <f t="shared" si="0"/>
        <v>#DIV/0!</v>
      </c>
      <c r="AN17" s="19">
        <v>4.0007000000000001</v>
      </c>
      <c r="AO17" s="19">
        <f t="shared" si="11"/>
        <v>2.2935194006568099E-4</v>
      </c>
      <c r="AP17" s="19">
        <f t="shared" si="12"/>
        <v>9.9317223316913001E-5</v>
      </c>
      <c r="AQ17" s="19">
        <f t="shared" si="13"/>
        <v>9.2977222222222507E-6</v>
      </c>
      <c r="AR17" s="19">
        <f t="shared" si="14"/>
        <v>1.0160794061302701E-5</v>
      </c>
      <c r="AS17" s="19">
        <f t="shared" si="15"/>
        <v>1.1472967432950201E-5</v>
      </c>
      <c r="AT17" s="19">
        <f t="shared" si="1"/>
        <v>1.2870485632183901E-5</v>
      </c>
      <c r="AU17" s="19">
        <f t="shared" si="16"/>
        <v>1.4268003831417601E-5</v>
      </c>
      <c r="AV17" s="19">
        <f t="shared" si="2"/>
        <v>1.5645522030651349E-5</v>
      </c>
      <c r="AW17" s="19">
        <f t="shared" si="17"/>
        <v>1.70230402298851E-5</v>
      </c>
      <c r="AX17" s="19">
        <f t="shared" si="3"/>
        <v>2.4003992337164748E-5</v>
      </c>
      <c r="AY17" s="19">
        <f t="shared" si="18"/>
        <v>3.0984944444444397E-5</v>
      </c>
      <c r="AZ17" s="19">
        <f t="shared" si="4"/>
        <v>3.1063166666666644E-5</v>
      </c>
      <c r="BA17" s="19">
        <f t="shared" si="19"/>
        <v>3.1141388888888898E-5</v>
      </c>
      <c r="BB17" s="7"/>
      <c r="BC17" s="13" t="str">
        <f t="shared" si="5"/>
        <v/>
      </c>
      <c r="BD17" s="7"/>
    </row>
    <row r="18" spans="1:56" hidden="1" x14ac:dyDescent="0.25">
      <c r="A18" s="17"/>
      <c r="B18" s="3" t="e">
        <f>'Power Calculator'!#REF!</f>
        <v>#REF!</v>
      </c>
      <c r="C18" s="3" t="e">
        <f>'Power Calculator'!#REF!</f>
        <v>#REF!</v>
      </c>
      <c r="D18" s="3" t="e">
        <f>'Power Calculator'!#REF!</f>
        <v>#REF!</v>
      </c>
      <c r="E18" s="3" t="e">
        <f>'Power Calculator'!#REF!</f>
        <v>#REF!</v>
      </c>
      <c r="F18" s="22" t="e">
        <f t="shared" si="6"/>
        <v>#REF!</v>
      </c>
      <c r="G18" s="22" t="e">
        <f t="shared" si="7"/>
        <v>#REF!</v>
      </c>
      <c r="H18" s="22"/>
      <c r="I18" s="3" t="e">
        <f>'Power Calculator'!#REF!</f>
        <v>#REF!</v>
      </c>
      <c r="J18" s="3" t="e">
        <f>'Power Calculator'!#REF!</f>
        <v>#REF!</v>
      </c>
      <c r="K18" s="3" t="e">
        <f>'Power Calculator'!#REF!</f>
        <v>#REF!</v>
      </c>
      <c r="L18" s="22" t="e">
        <f>IF(K18="Yes",IF((D18-I18-J18*#REF!)&gt;2,D18-I18-J18*#REF!,2),I18)</f>
        <v>#REF!</v>
      </c>
      <c r="M18" s="22" t="e">
        <f>IF(K18="Yes",D18,I18+J18*#REF!)</f>
        <v>#REF!</v>
      </c>
      <c r="N18" s="22"/>
      <c r="O18" s="3" t="e">
        <f>'Power Calculator'!#REF!</f>
        <v>#REF!</v>
      </c>
      <c r="P18" s="3" t="e">
        <f>'Power Calculator'!#REF!</f>
        <v>#REF!</v>
      </c>
      <c r="Q18" s="3" t="e">
        <f>'Power Calculator'!#REF!</f>
        <v>#REF!</v>
      </c>
      <c r="R18" s="22" t="e">
        <f>IF(AND(Q18="Yes",#REF!&gt;0),(D18-O18-P18*#REF!),O18)</f>
        <v>#REF!</v>
      </c>
      <c r="S18" s="22" t="e">
        <f>IF(AND(Q18="Yes",#REF!&gt;0),D18-O18,O18+P18*#REF!)</f>
        <v>#REF!</v>
      </c>
      <c r="T18" s="22"/>
      <c r="U18" s="3" t="e">
        <f>'Power Calculator'!#REF!</f>
        <v>#REF!</v>
      </c>
      <c r="V18" s="3" t="e">
        <f>'Power Calculator'!#REF!</f>
        <v>#REF!</v>
      </c>
      <c r="W18" s="3" t="e">
        <f>'Power Calculator'!#REF!</f>
        <v>#REF!</v>
      </c>
      <c r="X18" s="27" t="e">
        <f>IF(AND(W18="Yes",#REF!&gt;0),(D18-U18-V18*#REF!),U18)</f>
        <v>#REF!</v>
      </c>
      <c r="Y18" s="27" t="e">
        <f>IF(AND(W18="Yes",#REF!&gt;0),D18-U18,U18+V18*#REF!)</f>
        <v>#REF!</v>
      </c>
      <c r="Z18" s="27" t="e">
        <f>MAX(M18,S18,Y18,G18)-IF(MIN(L18,IF(#REF!&gt;0,R18,1000),IF(#REF!&gt;0,X18,1000))&lt;1,1,MIN(L18,IF(#REF!&gt;0,R18,1000),IF(#REF!&gt;0,X18,1000)))</f>
        <v>#REF!</v>
      </c>
      <c r="AA18" s="27" t="e">
        <f>IF(J18=0.5,#REF!,0)+IF(P18=0.5,#REF!,0)+IF(V18=0.5,#REF!,0)</f>
        <v>#REF!</v>
      </c>
      <c r="AB18" s="27" t="e">
        <f>IF(J18=1,#REF!,0)+IF(P18=1,#REF!,0)+IF(V18=1,#REF!,0)</f>
        <v>#REF!</v>
      </c>
      <c r="AC18" s="27" t="e">
        <f>IF(J18=1.5,#REF!,0)+IF(P18=1.5,#REF!,0)+IF(V18=1.5,#REF!,0)</f>
        <v>#REF!</v>
      </c>
      <c r="AD18" s="27" t="e">
        <f>IF(J18=2,#REF!,0)+IF(P18=2,#REF!,0)+IF(V18=2,#REF!,0)</f>
        <v>#REF!</v>
      </c>
      <c r="AE18" s="27" t="e">
        <f>IF(J18=2.5,#REF!,0)+IF(P18=2.5,#REF!,0)+IF(V18=2.5,#REF!,0)</f>
        <v>#REF!</v>
      </c>
      <c r="AF18" s="27" t="e">
        <f>IF(J18=3,#REF!,0)+IF(P18=3,#REF!,0)+IF(V18=3,#REF!,0)</f>
        <v>#REF!</v>
      </c>
      <c r="AG18" s="27" t="e">
        <f>IF(J18=3.5,#REF!,0)+IF(P18=3.5,#REF!,0)+IF(V18=3.5,#REF!,0)</f>
        <v>#REF!</v>
      </c>
      <c r="AH18" s="27" t="e">
        <f>IF(J18=4,#REF!,0)+IF(P18=4,#REF!,0)+IF(V18=4,#REF!,0)</f>
        <v>#REF!</v>
      </c>
      <c r="AI18" s="27" t="e">
        <f>IF(J18=4.5,#REF!,0)+IF(P18=4.5,#REF!,0)+IF(V18=4.5,#REF!,0)</f>
        <v>#REF!</v>
      </c>
      <c r="AJ18" s="27" t="e">
        <f>IF(J18=5,#REF!,0)+IF(P18=5,#REF!,0)+IF(V18=5,#REF!,0)</f>
        <v>#REF!</v>
      </c>
      <c r="AK18" s="27" t="e">
        <f t="shared" si="10"/>
        <v>#REF!</v>
      </c>
      <c r="AL18" s="27" t="e">
        <f>(E18="Yes")+1+IF(#REF!&gt;0,1,0)+IF(#REF!&gt;0,1,0)</f>
        <v>#REF!</v>
      </c>
      <c r="AM18" s="27" t="e">
        <f t="shared" si="0"/>
        <v>#REF!</v>
      </c>
      <c r="AN18" s="19">
        <v>5.0007000000000001</v>
      </c>
      <c r="AO18" s="19">
        <f t="shared" si="11"/>
        <v>2.2935194006568099E-4</v>
      </c>
      <c r="AP18" s="19">
        <f t="shared" si="12"/>
        <v>9.9317223316913001E-5</v>
      </c>
      <c r="AQ18" s="19">
        <f t="shared" si="13"/>
        <v>9.2977222222222507E-6</v>
      </c>
      <c r="AR18" s="19">
        <f t="shared" si="14"/>
        <v>1.0160794061302701E-5</v>
      </c>
      <c r="AS18" s="19">
        <f t="shared" si="15"/>
        <v>1.1472967432950201E-5</v>
      </c>
      <c r="AT18" s="19">
        <f t="shared" si="1"/>
        <v>1.2870485632183901E-5</v>
      </c>
      <c r="AU18" s="19">
        <f t="shared" si="16"/>
        <v>1.4268003831417601E-5</v>
      </c>
      <c r="AV18" s="19">
        <f t="shared" si="2"/>
        <v>1.5645522030651349E-5</v>
      </c>
      <c r="AW18" s="19">
        <f t="shared" si="17"/>
        <v>1.70230402298851E-5</v>
      </c>
      <c r="AX18" s="19">
        <f t="shared" si="3"/>
        <v>2.4003992337164748E-5</v>
      </c>
      <c r="AY18" s="19">
        <f t="shared" si="18"/>
        <v>3.0984944444444397E-5</v>
      </c>
      <c r="AZ18" s="19">
        <f t="shared" si="4"/>
        <v>3.1063166666666644E-5</v>
      </c>
      <c r="BA18" s="19">
        <f t="shared" si="19"/>
        <v>3.1141388888888898E-5</v>
      </c>
      <c r="BB18" s="7"/>
      <c r="BC18" s="13" t="e">
        <f t="shared" si="5"/>
        <v>#REF!</v>
      </c>
      <c r="BD18" s="7"/>
    </row>
    <row r="19" spans="1:56" hidden="1" x14ac:dyDescent="0.25">
      <c r="A19" s="17"/>
      <c r="B19" s="3" t="e">
        <f>'Power Calculator'!#REF!</f>
        <v>#REF!</v>
      </c>
      <c r="C19" s="3" t="e">
        <f>'Power Calculator'!#REF!</f>
        <v>#REF!</v>
      </c>
      <c r="D19" s="3" t="e">
        <f>'Power Calculator'!#REF!</f>
        <v>#REF!</v>
      </c>
      <c r="E19" s="3" t="e">
        <f>'Power Calculator'!#REF!</f>
        <v>#REF!</v>
      </c>
      <c r="F19" s="22" t="e">
        <f t="shared" si="6"/>
        <v>#REF!</v>
      </c>
      <c r="G19" s="22" t="e">
        <f t="shared" si="7"/>
        <v>#REF!</v>
      </c>
      <c r="H19" s="22"/>
      <c r="I19" s="3" t="e">
        <f>'Power Calculator'!#REF!</f>
        <v>#REF!</v>
      </c>
      <c r="J19" s="3" t="e">
        <f>'Power Calculator'!#REF!</f>
        <v>#REF!</v>
      </c>
      <c r="K19" s="3" t="e">
        <f>'Power Calculator'!#REF!</f>
        <v>#REF!</v>
      </c>
      <c r="L19" s="22" t="e">
        <f>IF(K19="Yes",IF((D19-I19-J19*#REF!)&gt;2,D19-I19-J19*#REF!,2),I19)</f>
        <v>#REF!</v>
      </c>
      <c r="M19" s="22" t="e">
        <f>IF(K19="Yes",D19,I19+J19*#REF!)</f>
        <v>#REF!</v>
      </c>
      <c r="N19" s="22"/>
      <c r="O19" s="3" t="e">
        <f>'Power Calculator'!#REF!</f>
        <v>#REF!</v>
      </c>
      <c r="P19" s="3" t="e">
        <f>'Power Calculator'!#REF!</f>
        <v>#REF!</v>
      </c>
      <c r="Q19" s="3" t="e">
        <f>'Power Calculator'!#REF!</f>
        <v>#REF!</v>
      </c>
      <c r="R19" s="22" t="e">
        <f>IF(AND(Q19="Yes",#REF!&gt;0),(D19-O19-P19*#REF!),O19)</f>
        <v>#REF!</v>
      </c>
      <c r="S19" s="22" t="e">
        <f>IF(AND(Q19="Yes",#REF!&gt;0),D19-O19,O19+P19*#REF!)</f>
        <v>#REF!</v>
      </c>
      <c r="T19" s="22"/>
      <c r="U19" s="3" t="e">
        <f>'Power Calculator'!#REF!</f>
        <v>#REF!</v>
      </c>
      <c r="V19" s="3" t="e">
        <f>'Power Calculator'!#REF!</f>
        <v>#REF!</v>
      </c>
      <c r="W19" s="3" t="e">
        <f>'Power Calculator'!#REF!</f>
        <v>#REF!</v>
      </c>
      <c r="X19" s="27" t="e">
        <f>IF(AND(W19="Yes",#REF!&gt;0),(D19-U19-V19*#REF!),U19)</f>
        <v>#REF!</v>
      </c>
      <c r="Y19" s="27" t="e">
        <f>IF(AND(W19="Yes",#REF!&gt;0),D19-U19,U19+V19*#REF!)</f>
        <v>#REF!</v>
      </c>
      <c r="Z19" s="27" t="e">
        <f>MAX(M19,S19,Y19,G19)-IF(MIN(L19,IF(#REF!&gt;0,R19,1000),IF(#REF!&gt;0,X19,1000))&lt;1,1,MIN(L19,IF(#REF!&gt;0,R19,1000),IF(#REF!&gt;0,X19,1000)))</f>
        <v>#REF!</v>
      </c>
      <c r="AA19" s="27" t="e">
        <f>IF(J19=0.5,#REF!,0)+IF(P19=0.5,#REF!,0)+IF(V19=0.5,#REF!,0)</f>
        <v>#REF!</v>
      </c>
      <c r="AB19" s="27" t="e">
        <f>IF(J19=1,#REF!,0)+IF(P19=1,#REF!,0)+IF(V19=1,#REF!,0)</f>
        <v>#REF!</v>
      </c>
      <c r="AC19" s="27" t="e">
        <f>IF(J19=1.5,#REF!,0)+IF(P19=1.5,#REF!,0)+IF(V19=1.5,#REF!,0)</f>
        <v>#REF!</v>
      </c>
      <c r="AD19" s="27" t="e">
        <f>IF(J19=2,#REF!,0)+IF(P19=2,#REF!,0)+IF(V19=2,#REF!,0)</f>
        <v>#REF!</v>
      </c>
      <c r="AE19" s="27" t="e">
        <f>IF(J19=2.5,#REF!,0)+IF(P19=2.5,#REF!,0)+IF(V19=2.5,#REF!,0)</f>
        <v>#REF!</v>
      </c>
      <c r="AF19" s="27" t="e">
        <f>IF(J19=3,#REF!,0)+IF(P19=3,#REF!,0)+IF(V19=3,#REF!,0)</f>
        <v>#REF!</v>
      </c>
      <c r="AG19" s="27" t="e">
        <f>IF(J19=3.5,#REF!,0)+IF(P19=3.5,#REF!,0)+IF(V19=3.5,#REF!,0)</f>
        <v>#REF!</v>
      </c>
      <c r="AH19" s="27" t="e">
        <f>IF(J19=4,#REF!,0)+IF(P19=4,#REF!,0)+IF(V19=4,#REF!,0)</f>
        <v>#REF!</v>
      </c>
      <c r="AI19" s="27" t="e">
        <f>IF(J19=4.5,#REF!,0)+IF(P19=4.5,#REF!,0)+IF(V19=4.5,#REF!,0)</f>
        <v>#REF!</v>
      </c>
      <c r="AJ19" s="27" t="e">
        <f>IF(J19=5,#REF!,0)+IF(P19=5,#REF!,0)+IF(V19=5,#REF!,0)</f>
        <v>#REF!</v>
      </c>
      <c r="AK19" s="27" t="e">
        <f t="shared" si="10"/>
        <v>#REF!</v>
      </c>
      <c r="AL19" s="27" t="e">
        <f>(E19="Yes")+1+IF(#REF!&gt;0,1,0)+IF(#REF!&gt;0,1,0)</f>
        <v>#REF!</v>
      </c>
      <c r="AM19" s="27" t="e">
        <f t="shared" si="0"/>
        <v>#REF!</v>
      </c>
      <c r="AN19" s="19">
        <v>6.0007000000000001</v>
      </c>
      <c r="AO19" s="19">
        <f t="shared" si="11"/>
        <v>2.2935194006568099E-4</v>
      </c>
      <c r="AP19" s="19">
        <f t="shared" si="12"/>
        <v>9.9317223316913001E-5</v>
      </c>
      <c r="AQ19" s="19">
        <f t="shared" si="13"/>
        <v>9.2977222222222507E-6</v>
      </c>
      <c r="AR19" s="19">
        <f t="shared" si="14"/>
        <v>1.0160794061302701E-5</v>
      </c>
      <c r="AS19" s="19">
        <f t="shared" si="15"/>
        <v>1.1472967432950201E-5</v>
      </c>
      <c r="AT19" s="19">
        <f t="shared" si="1"/>
        <v>1.2870485632183901E-5</v>
      </c>
      <c r="AU19" s="19">
        <f t="shared" si="16"/>
        <v>1.4268003831417601E-5</v>
      </c>
      <c r="AV19" s="19">
        <f t="shared" si="2"/>
        <v>1.5645522030651349E-5</v>
      </c>
      <c r="AW19" s="19">
        <f t="shared" si="17"/>
        <v>1.70230402298851E-5</v>
      </c>
      <c r="AX19" s="19">
        <f t="shared" si="3"/>
        <v>2.4003992337164748E-5</v>
      </c>
      <c r="AY19" s="19">
        <f t="shared" si="18"/>
        <v>3.0984944444444397E-5</v>
      </c>
      <c r="AZ19" s="19">
        <f t="shared" si="4"/>
        <v>3.1063166666666644E-5</v>
      </c>
      <c r="BA19" s="19">
        <f t="shared" si="19"/>
        <v>3.1141388888888898E-5</v>
      </c>
      <c r="BB19" s="7"/>
      <c r="BC19" s="13" t="e">
        <f t="shared" si="5"/>
        <v>#REF!</v>
      </c>
      <c r="BD19" s="7"/>
    </row>
    <row r="20" spans="1:56" hidden="1" x14ac:dyDescent="0.25">
      <c r="A20" s="17"/>
      <c r="B20" s="3" t="e">
        <f>'Power Calculator'!#REF!</f>
        <v>#REF!</v>
      </c>
      <c r="C20" s="3" t="e">
        <f>'Power Calculator'!#REF!</f>
        <v>#REF!</v>
      </c>
      <c r="D20" s="3" t="e">
        <f>'Power Calculator'!#REF!</f>
        <v>#REF!</v>
      </c>
      <c r="E20" s="3" t="e">
        <f>'Power Calculator'!#REF!</f>
        <v>#REF!</v>
      </c>
      <c r="F20" s="22" t="e">
        <f t="shared" si="6"/>
        <v>#REF!</v>
      </c>
      <c r="G20" s="22" t="e">
        <f t="shared" si="7"/>
        <v>#REF!</v>
      </c>
      <c r="H20" s="22"/>
      <c r="I20" s="3" t="e">
        <f>'Power Calculator'!#REF!</f>
        <v>#REF!</v>
      </c>
      <c r="J20" s="3" t="e">
        <f>'Power Calculator'!#REF!</f>
        <v>#REF!</v>
      </c>
      <c r="K20" s="3" t="e">
        <f>'Power Calculator'!#REF!</f>
        <v>#REF!</v>
      </c>
      <c r="L20" s="22" t="e">
        <f>IF(K20="Yes",IF((D20-I20-J20*#REF!)&gt;2,D20-I20-J20*#REF!,2),I20)</f>
        <v>#REF!</v>
      </c>
      <c r="M20" s="22" t="e">
        <f>IF(K20="Yes",D20,I20+J20*#REF!)</f>
        <v>#REF!</v>
      </c>
      <c r="N20" s="22"/>
      <c r="O20" s="3" t="e">
        <f>'Power Calculator'!#REF!</f>
        <v>#REF!</v>
      </c>
      <c r="P20" s="3" t="e">
        <f>'Power Calculator'!#REF!</f>
        <v>#REF!</v>
      </c>
      <c r="Q20" s="3" t="e">
        <f>'Power Calculator'!#REF!</f>
        <v>#REF!</v>
      </c>
      <c r="R20" s="22" t="e">
        <f>IF(AND(Q20="Yes",#REF!&gt;0),(D20-O20-P20*#REF!),O20)</f>
        <v>#REF!</v>
      </c>
      <c r="S20" s="22" t="e">
        <f>IF(AND(Q20="Yes",#REF!&gt;0),D20-O20,O20+P20*#REF!)</f>
        <v>#REF!</v>
      </c>
      <c r="T20" s="22"/>
      <c r="U20" s="3" t="e">
        <f>'Power Calculator'!#REF!</f>
        <v>#REF!</v>
      </c>
      <c r="V20" s="3" t="e">
        <f>'Power Calculator'!#REF!</f>
        <v>#REF!</v>
      </c>
      <c r="W20" s="3" t="e">
        <f>'Power Calculator'!#REF!</f>
        <v>#REF!</v>
      </c>
      <c r="X20" s="27" t="e">
        <f>IF(AND(W20="Yes",#REF!&gt;0),(D20-U20-V20*#REF!),U20)</f>
        <v>#REF!</v>
      </c>
      <c r="Y20" s="27" t="e">
        <f>IF(AND(W20="Yes",#REF!&gt;0),D20-U20,U20+V20*#REF!)</f>
        <v>#REF!</v>
      </c>
      <c r="Z20" s="27" t="e">
        <f>MAX(M20,S20,Y20,G20)-IF(MIN(L20,IF(#REF!&gt;0,R20,1000),IF(#REF!&gt;0,X20,1000))&lt;1,1,MIN(L20,IF(#REF!&gt;0,R20,1000),IF(#REF!&gt;0,X20,1000)))</f>
        <v>#REF!</v>
      </c>
      <c r="AA20" s="27" t="e">
        <f>IF(J20=0.5,#REF!,0)+IF(P20=0.5,#REF!,0)+IF(V20=0.5,#REF!,0)</f>
        <v>#REF!</v>
      </c>
      <c r="AB20" s="27" t="e">
        <f>IF(J20=1,#REF!,0)+IF(P20=1,#REF!,0)+IF(V20=1,#REF!,0)</f>
        <v>#REF!</v>
      </c>
      <c r="AC20" s="27" t="e">
        <f>IF(J20=1.5,#REF!,0)+IF(P20=1.5,#REF!,0)+IF(V20=1.5,#REF!,0)</f>
        <v>#REF!</v>
      </c>
      <c r="AD20" s="27" t="e">
        <f>IF(J20=2,#REF!,0)+IF(P20=2,#REF!,0)+IF(V20=2,#REF!,0)</f>
        <v>#REF!</v>
      </c>
      <c r="AE20" s="27" t="e">
        <f>IF(J20=2.5,#REF!,0)+IF(P20=2.5,#REF!,0)+IF(V20=2.5,#REF!,0)</f>
        <v>#REF!</v>
      </c>
      <c r="AF20" s="27" t="e">
        <f>IF(J20=3,#REF!,0)+IF(P20=3,#REF!,0)+IF(V20=3,#REF!,0)</f>
        <v>#REF!</v>
      </c>
      <c r="AG20" s="27" t="e">
        <f>IF(J20=3.5,#REF!,0)+IF(P20=3.5,#REF!,0)+IF(V20=3.5,#REF!,0)</f>
        <v>#REF!</v>
      </c>
      <c r="AH20" s="27" t="e">
        <f>IF(J20=4,#REF!,0)+IF(P20=4,#REF!,0)+IF(V20=4,#REF!,0)</f>
        <v>#REF!</v>
      </c>
      <c r="AI20" s="27" t="e">
        <f>IF(J20=4.5,#REF!,0)+IF(P20=4.5,#REF!,0)+IF(V20=4.5,#REF!,0)</f>
        <v>#REF!</v>
      </c>
      <c r="AJ20" s="27" t="e">
        <f>IF(J20=5,#REF!,0)+IF(P20=5,#REF!,0)+IF(V20=5,#REF!,0)</f>
        <v>#REF!</v>
      </c>
      <c r="AK20" s="27" t="e">
        <f t="shared" si="10"/>
        <v>#REF!</v>
      </c>
      <c r="AL20" s="27" t="e">
        <f>(E20="Yes")+1+IF(#REF!&gt;0,1,0)+IF(#REF!&gt;0,1,0)</f>
        <v>#REF!</v>
      </c>
      <c r="AM20" s="27" t="e">
        <f t="shared" si="0"/>
        <v>#REF!</v>
      </c>
      <c r="AN20" s="19">
        <v>7.0007000000000001</v>
      </c>
      <c r="AO20" s="19">
        <f t="shared" si="11"/>
        <v>2.2935194006568099E-4</v>
      </c>
      <c r="AP20" s="19">
        <f t="shared" si="12"/>
        <v>9.9317223316913001E-5</v>
      </c>
      <c r="AQ20" s="19">
        <f t="shared" si="13"/>
        <v>9.2977222222222507E-6</v>
      </c>
      <c r="AR20" s="19">
        <f t="shared" si="14"/>
        <v>1.0160794061302701E-5</v>
      </c>
      <c r="AS20" s="19">
        <f t="shared" si="15"/>
        <v>1.1472967432950201E-5</v>
      </c>
      <c r="AT20" s="19">
        <f t="shared" si="1"/>
        <v>1.2870485632183901E-5</v>
      </c>
      <c r="AU20" s="19">
        <f t="shared" si="16"/>
        <v>1.4268003831417601E-5</v>
      </c>
      <c r="AV20" s="19">
        <f t="shared" si="2"/>
        <v>1.5645522030651349E-5</v>
      </c>
      <c r="AW20" s="19">
        <f t="shared" si="17"/>
        <v>1.70230402298851E-5</v>
      </c>
      <c r="AX20" s="19">
        <f t="shared" si="3"/>
        <v>2.4003992337164748E-5</v>
      </c>
      <c r="AY20" s="19">
        <f t="shared" si="18"/>
        <v>3.0984944444444397E-5</v>
      </c>
      <c r="AZ20" s="19">
        <f t="shared" si="4"/>
        <v>3.1063166666666644E-5</v>
      </c>
      <c r="BA20" s="19">
        <f t="shared" si="19"/>
        <v>3.1141388888888898E-5</v>
      </c>
      <c r="BB20" s="7"/>
      <c r="BC20" s="13" t="e">
        <f t="shared" si="5"/>
        <v>#REF!</v>
      </c>
      <c r="BD20" s="7"/>
    </row>
    <row r="21" spans="1:56" hidden="1" x14ac:dyDescent="0.25">
      <c r="A21" s="17"/>
      <c r="B21" s="3" t="e">
        <f>'Power Calculator'!#REF!</f>
        <v>#REF!</v>
      </c>
      <c r="C21" s="3" t="e">
        <f>'Power Calculator'!#REF!</f>
        <v>#REF!</v>
      </c>
      <c r="D21" s="3" t="e">
        <f>'Power Calculator'!#REF!</f>
        <v>#REF!</v>
      </c>
      <c r="E21" s="3" t="e">
        <f>'Power Calculator'!#REF!</f>
        <v>#REF!</v>
      </c>
      <c r="F21" s="22" t="e">
        <f t="shared" si="6"/>
        <v>#REF!</v>
      </c>
      <c r="G21" s="22" t="e">
        <f t="shared" si="7"/>
        <v>#REF!</v>
      </c>
      <c r="H21" s="22"/>
      <c r="I21" s="3" t="e">
        <f>'Power Calculator'!#REF!</f>
        <v>#REF!</v>
      </c>
      <c r="J21" s="3" t="e">
        <f>'Power Calculator'!#REF!</f>
        <v>#REF!</v>
      </c>
      <c r="K21" s="3" t="e">
        <f>'Power Calculator'!#REF!</f>
        <v>#REF!</v>
      </c>
      <c r="L21" s="22" t="e">
        <f>IF(K21="Yes",IF((D21-I21-J21*#REF!)&gt;2,D21-I21-J21*#REF!,2),I21)</f>
        <v>#REF!</v>
      </c>
      <c r="M21" s="22" t="e">
        <f>IF(K21="Yes",D21,I21+J21*#REF!)</f>
        <v>#REF!</v>
      </c>
      <c r="N21" s="22"/>
      <c r="O21" s="3" t="e">
        <f>'Power Calculator'!#REF!</f>
        <v>#REF!</v>
      </c>
      <c r="P21" s="3" t="e">
        <f>'Power Calculator'!#REF!</f>
        <v>#REF!</v>
      </c>
      <c r="Q21" s="3" t="e">
        <f>'Power Calculator'!#REF!</f>
        <v>#REF!</v>
      </c>
      <c r="R21" s="22" t="e">
        <f>IF(AND(Q21="Yes",#REF!&gt;0),(D21-O21-P21*#REF!),O21)</f>
        <v>#REF!</v>
      </c>
      <c r="S21" s="22" t="e">
        <f>IF(AND(Q21="Yes",#REF!&gt;0),D21-O21,O21+P21*#REF!)</f>
        <v>#REF!</v>
      </c>
      <c r="T21" s="22"/>
      <c r="U21" s="3" t="e">
        <f>'Power Calculator'!#REF!</f>
        <v>#REF!</v>
      </c>
      <c r="V21" s="3" t="e">
        <f>'Power Calculator'!#REF!</f>
        <v>#REF!</v>
      </c>
      <c r="W21" s="3" t="e">
        <f>'Power Calculator'!#REF!</f>
        <v>#REF!</v>
      </c>
      <c r="X21" s="27" t="e">
        <f>IF(AND(W21="Yes",#REF!&gt;0),(D21-U21-V21*#REF!),U21)</f>
        <v>#REF!</v>
      </c>
      <c r="Y21" s="27" t="e">
        <f>IF(AND(W21="Yes",#REF!&gt;0),D21-U21,U21+V21*#REF!)</f>
        <v>#REF!</v>
      </c>
      <c r="Z21" s="27" t="e">
        <f>MAX(M21,S21,Y21,G21)-IF(MIN(L21,IF(#REF!&gt;0,R21,1000),IF(#REF!&gt;0,X21,1000))&lt;1,1,MIN(L21,IF(#REF!&gt;0,R21,1000),IF(#REF!&gt;0,X21,1000)))</f>
        <v>#REF!</v>
      </c>
      <c r="AA21" s="27" t="e">
        <f>IF(J21=0.5,#REF!,0)+IF(P21=0.5,#REF!,0)+IF(V21=0.5,#REF!,0)</f>
        <v>#REF!</v>
      </c>
      <c r="AB21" s="27" t="e">
        <f>IF(J21=1,#REF!,0)+IF(P21=1,#REF!,0)+IF(V21=1,#REF!,0)</f>
        <v>#REF!</v>
      </c>
      <c r="AC21" s="27" t="e">
        <f>IF(J21=1.5,#REF!,0)+IF(P21=1.5,#REF!,0)+IF(V21=1.5,#REF!,0)</f>
        <v>#REF!</v>
      </c>
      <c r="AD21" s="27" t="e">
        <f>IF(J21=2,#REF!,0)+IF(P21=2,#REF!,0)+IF(V21=2,#REF!,0)</f>
        <v>#REF!</v>
      </c>
      <c r="AE21" s="27" t="e">
        <f>IF(J21=2.5,#REF!,0)+IF(P21=2.5,#REF!,0)+IF(V21=2.5,#REF!,0)</f>
        <v>#REF!</v>
      </c>
      <c r="AF21" s="27" t="e">
        <f>IF(J21=3,#REF!,0)+IF(P21=3,#REF!,0)+IF(V21=3,#REF!,0)</f>
        <v>#REF!</v>
      </c>
      <c r="AG21" s="27" t="e">
        <f>IF(J21=3.5,#REF!,0)+IF(P21=3.5,#REF!,0)+IF(V21=3.5,#REF!,0)</f>
        <v>#REF!</v>
      </c>
      <c r="AH21" s="27" t="e">
        <f>IF(J21=4,#REF!,0)+IF(P21=4,#REF!,0)+IF(V21=4,#REF!,0)</f>
        <v>#REF!</v>
      </c>
      <c r="AI21" s="27" t="e">
        <f>IF(J21=4.5,#REF!,0)+IF(P21=4.5,#REF!,0)+IF(V21=4.5,#REF!,0)</f>
        <v>#REF!</v>
      </c>
      <c r="AJ21" s="27" t="e">
        <f>IF(J21=5,#REF!,0)+IF(P21=5,#REF!,0)+IF(V21=5,#REF!,0)</f>
        <v>#REF!</v>
      </c>
      <c r="AK21" s="27" t="e">
        <f t="shared" si="10"/>
        <v>#REF!</v>
      </c>
      <c r="AL21" s="27" t="e">
        <f>(E21="Yes")+1+IF(#REF!&gt;0,1,0)+IF(#REF!&gt;0,1,0)</f>
        <v>#REF!</v>
      </c>
      <c r="AM21" s="27" t="e">
        <f t="shared" si="0"/>
        <v>#REF!</v>
      </c>
      <c r="AN21" s="19">
        <v>8.0007000000000001</v>
      </c>
      <c r="AO21" s="19">
        <f t="shared" si="11"/>
        <v>2.2935194006568099E-4</v>
      </c>
      <c r="AP21" s="19">
        <f t="shared" si="12"/>
        <v>9.9317223316913001E-5</v>
      </c>
      <c r="AQ21" s="19">
        <f t="shared" si="13"/>
        <v>9.2977222222222507E-6</v>
      </c>
      <c r="AR21" s="19">
        <f t="shared" si="14"/>
        <v>1.0160794061302701E-5</v>
      </c>
      <c r="AS21" s="19">
        <f t="shared" si="15"/>
        <v>1.1472967432950201E-5</v>
      </c>
      <c r="AT21" s="19">
        <f t="shared" si="1"/>
        <v>1.2870485632183901E-5</v>
      </c>
      <c r="AU21" s="19">
        <f t="shared" si="16"/>
        <v>1.4268003831417601E-5</v>
      </c>
      <c r="AV21" s="19">
        <f t="shared" si="2"/>
        <v>1.5645522030651349E-5</v>
      </c>
      <c r="AW21" s="19">
        <f t="shared" si="17"/>
        <v>1.70230402298851E-5</v>
      </c>
      <c r="AX21" s="19">
        <f t="shared" si="3"/>
        <v>2.4003992337164748E-5</v>
      </c>
      <c r="AY21" s="19">
        <f t="shared" si="18"/>
        <v>3.0984944444444397E-5</v>
      </c>
      <c r="AZ21" s="19">
        <f t="shared" si="4"/>
        <v>3.1063166666666644E-5</v>
      </c>
      <c r="BA21" s="19">
        <f t="shared" si="19"/>
        <v>3.1141388888888898E-5</v>
      </c>
      <c r="BB21" s="7"/>
      <c r="BC21" s="13" t="e">
        <f t="shared" si="5"/>
        <v>#REF!</v>
      </c>
      <c r="BD21" s="7"/>
    </row>
    <row r="22" spans="1:56" hidden="1" x14ac:dyDescent="0.25">
      <c r="A22" s="17"/>
      <c r="B22" s="3" t="e">
        <f>'Power Calculator'!#REF!</f>
        <v>#REF!</v>
      </c>
      <c r="C22" s="3" t="e">
        <f>'Power Calculator'!#REF!</f>
        <v>#REF!</v>
      </c>
      <c r="D22" s="3" t="e">
        <f>'Power Calculator'!#REF!</f>
        <v>#REF!</v>
      </c>
      <c r="E22" s="3" t="e">
        <f>'Power Calculator'!#REF!</f>
        <v>#REF!</v>
      </c>
      <c r="F22" s="22" t="e">
        <f t="shared" si="6"/>
        <v>#REF!</v>
      </c>
      <c r="G22" s="22" t="e">
        <f t="shared" si="7"/>
        <v>#REF!</v>
      </c>
      <c r="H22" s="22"/>
      <c r="I22" s="3" t="e">
        <f>'Power Calculator'!#REF!</f>
        <v>#REF!</v>
      </c>
      <c r="J22" s="3" t="e">
        <f>'Power Calculator'!#REF!</f>
        <v>#REF!</v>
      </c>
      <c r="K22" s="3" t="e">
        <f>'Power Calculator'!#REF!</f>
        <v>#REF!</v>
      </c>
      <c r="L22" s="22" t="e">
        <f>IF(K22="Yes",IF((D22-I22-J22*#REF!)&gt;2,D22-I22-J22*#REF!,2),I22)</f>
        <v>#REF!</v>
      </c>
      <c r="M22" s="22" t="e">
        <f>IF(K22="Yes",D22,I22+J22*#REF!)</f>
        <v>#REF!</v>
      </c>
      <c r="N22" s="22"/>
      <c r="O22" s="3" t="e">
        <f>'Power Calculator'!#REF!</f>
        <v>#REF!</v>
      </c>
      <c r="P22" s="3" t="e">
        <f>'Power Calculator'!#REF!</f>
        <v>#REF!</v>
      </c>
      <c r="Q22" s="3" t="e">
        <f>'Power Calculator'!#REF!</f>
        <v>#REF!</v>
      </c>
      <c r="R22" s="22" t="e">
        <f>IF(AND(Q22="Yes",#REF!&gt;0),(D22-O22-P22*#REF!),O22)</f>
        <v>#REF!</v>
      </c>
      <c r="S22" s="22" t="e">
        <f>IF(AND(Q22="Yes",#REF!&gt;0),D22-O22,O22+P22*#REF!)</f>
        <v>#REF!</v>
      </c>
      <c r="T22" s="22"/>
      <c r="U22" s="3" t="e">
        <f>'Power Calculator'!#REF!</f>
        <v>#REF!</v>
      </c>
      <c r="V22" s="3" t="e">
        <f>'Power Calculator'!#REF!</f>
        <v>#REF!</v>
      </c>
      <c r="W22" s="3" t="e">
        <f>'Power Calculator'!#REF!</f>
        <v>#REF!</v>
      </c>
      <c r="X22" s="27" t="e">
        <f>IF(AND(W22="Yes",#REF!&gt;0),(D22-U22-V22*#REF!),U22)</f>
        <v>#REF!</v>
      </c>
      <c r="Y22" s="27" t="e">
        <f>IF(AND(W22="Yes",#REF!&gt;0),D22-U22,U22+V22*#REF!)</f>
        <v>#REF!</v>
      </c>
      <c r="Z22" s="27" t="e">
        <f>MAX(M22,S22,Y22,G22)-IF(MIN(L22,IF(#REF!&gt;0,R22,1000),IF(#REF!&gt;0,X22,1000))&lt;1,1,MIN(L22,IF(#REF!&gt;0,R22,1000),IF(#REF!&gt;0,X22,1000)))</f>
        <v>#REF!</v>
      </c>
      <c r="AA22" s="27" t="e">
        <f>IF(J22=0.5,#REF!,0)+IF(P22=0.5,#REF!,0)+IF(V22=0.5,#REF!,0)</f>
        <v>#REF!</v>
      </c>
      <c r="AB22" s="27" t="e">
        <f>IF(J22=1,#REF!,0)+IF(P22=1,#REF!,0)+IF(V22=1,#REF!,0)</f>
        <v>#REF!</v>
      </c>
      <c r="AC22" s="27" t="e">
        <f>IF(J22=1.5,#REF!,0)+IF(P22=1.5,#REF!,0)+IF(V22=1.5,#REF!,0)</f>
        <v>#REF!</v>
      </c>
      <c r="AD22" s="27" t="e">
        <f>IF(J22=2,#REF!,0)+IF(P22=2,#REF!,0)+IF(V22=2,#REF!,0)</f>
        <v>#REF!</v>
      </c>
      <c r="AE22" s="27" t="e">
        <f>IF(J22=2.5,#REF!,0)+IF(P22=2.5,#REF!,0)+IF(V22=2.5,#REF!,0)</f>
        <v>#REF!</v>
      </c>
      <c r="AF22" s="27" t="e">
        <f>IF(J22=3,#REF!,0)+IF(P22=3,#REF!,0)+IF(V22=3,#REF!,0)</f>
        <v>#REF!</v>
      </c>
      <c r="AG22" s="27" t="e">
        <f>IF(J22=3.5,#REF!,0)+IF(P22=3.5,#REF!,0)+IF(V22=3.5,#REF!,0)</f>
        <v>#REF!</v>
      </c>
      <c r="AH22" s="27" t="e">
        <f>IF(J22=4,#REF!,0)+IF(P22=4,#REF!,0)+IF(V22=4,#REF!,0)</f>
        <v>#REF!</v>
      </c>
      <c r="AI22" s="27" t="e">
        <f>IF(J22=4.5,#REF!,0)+IF(P22=4.5,#REF!,0)+IF(V22=4.5,#REF!,0)</f>
        <v>#REF!</v>
      </c>
      <c r="AJ22" s="27" t="e">
        <f>IF(J22=5,#REF!,0)+IF(P22=5,#REF!,0)+IF(V22=5,#REF!,0)</f>
        <v>#REF!</v>
      </c>
      <c r="AK22" s="27" t="e">
        <f t="shared" si="10"/>
        <v>#REF!</v>
      </c>
      <c r="AL22" s="27" t="e">
        <f>(E22="Yes")+1+IF(#REF!&gt;0,1,0)+IF(#REF!&gt;0,1,0)</f>
        <v>#REF!</v>
      </c>
      <c r="AM22" s="27" t="e">
        <f t="shared" si="0"/>
        <v>#REF!</v>
      </c>
      <c r="AN22" s="19">
        <v>9.0007000000000001</v>
      </c>
      <c r="AO22" s="19">
        <f t="shared" si="11"/>
        <v>2.2935194006568099E-4</v>
      </c>
      <c r="AP22" s="19">
        <f t="shared" si="12"/>
        <v>9.9317223316913001E-5</v>
      </c>
      <c r="AQ22" s="19">
        <f t="shared" si="13"/>
        <v>9.2977222222222507E-6</v>
      </c>
      <c r="AR22" s="19">
        <f t="shared" si="14"/>
        <v>1.0160794061302701E-5</v>
      </c>
      <c r="AS22" s="19">
        <f t="shared" si="15"/>
        <v>1.1472967432950201E-5</v>
      </c>
      <c r="AT22" s="19">
        <f t="shared" si="1"/>
        <v>1.2870485632183901E-5</v>
      </c>
      <c r="AU22" s="19">
        <f t="shared" si="16"/>
        <v>1.4268003831417601E-5</v>
      </c>
      <c r="AV22" s="19">
        <f t="shared" si="2"/>
        <v>1.5645522030651349E-5</v>
      </c>
      <c r="AW22" s="19">
        <f t="shared" si="17"/>
        <v>1.70230402298851E-5</v>
      </c>
      <c r="AX22" s="19">
        <f t="shared" si="3"/>
        <v>2.4003992337164748E-5</v>
      </c>
      <c r="AY22" s="19">
        <f t="shared" si="18"/>
        <v>3.0984944444444397E-5</v>
      </c>
      <c r="AZ22" s="19">
        <f t="shared" si="4"/>
        <v>3.1063166666666644E-5</v>
      </c>
      <c r="BA22" s="19">
        <f t="shared" si="19"/>
        <v>3.1141388888888898E-5</v>
      </c>
      <c r="BB22" s="7"/>
      <c r="BC22" s="13" t="e">
        <f t="shared" si="5"/>
        <v>#REF!</v>
      </c>
      <c r="BD22" s="7"/>
    </row>
    <row r="23" spans="1:56" hidden="1" x14ac:dyDescent="0.25">
      <c r="A23" s="17"/>
      <c r="B23" s="3" t="e">
        <f>'Power Calculator'!#REF!</f>
        <v>#REF!</v>
      </c>
      <c r="C23" s="3" t="e">
        <f>'Power Calculator'!#REF!</f>
        <v>#REF!</v>
      </c>
      <c r="D23" s="3" t="e">
        <f>'Power Calculator'!#REF!</f>
        <v>#REF!</v>
      </c>
      <c r="E23" s="3" t="e">
        <f>'Power Calculator'!#REF!</f>
        <v>#REF!</v>
      </c>
      <c r="F23" s="22" t="e">
        <f t="shared" si="6"/>
        <v>#REF!</v>
      </c>
      <c r="G23" s="22" t="e">
        <f t="shared" si="7"/>
        <v>#REF!</v>
      </c>
      <c r="H23" s="22"/>
      <c r="I23" s="3" t="e">
        <f>'Power Calculator'!#REF!</f>
        <v>#REF!</v>
      </c>
      <c r="J23" s="3" t="e">
        <f>'Power Calculator'!#REF!</f>
        <v>#REF!</v>
      </c>
      <c r="K23" s="3" t="e">
        <f>'Power Calculator'!#REF!</f>
        <v>#REF!</v>
      </c>
      <c r="L23" s="22" t="e">
        <f>IF(K23="Yes",IF((D23-I23-J23*#REF!)&gt;2,D23-I23-J23*#REF!,2),I23)</f>
        <v>#REF!</v>
      </c>
      <c r="M23" s="22" t="e">
        <f>IF(K23="Yes",D23,I23+J23*#REF!)</f>
        <v>#REF!</v>
      </c>
      <c r="N23" s="22"/>
      <c r="O23" s="3" t="e">
        <f>'Power Calculator'!#REF!</f>
        <v>#REF!</v>
      </c>
      <c r="P23" s="3" t="e">
        <f>'Power Calculator'!#REF!</f>
        <v>#REF!</v>
      </c>
      <c r="Q23" s="3" t="e">
        <f>'Power Calculator'!#REF!</f>
        <v>#REF!</v>
      </c>
      <c r="R23" s="22" t="e">
        <f>IF(AND(Q23="Yes",#REF!&gt;0),(D23-O23-P23*#REF!),O23)</f>
        <v>#REF!</v>
      </c>
      <c r="S23" s="22" t="e">
        <f>IF(AND(Q23="Yes",#REF!&gt;0),D23-O23,O23+P23*#REF!)</f>
        <v>#REF!</v>
      </c>
      <c r="T23" s="22"/>
      <c r="U23" s="3" t="e">
        <f>'Power Calculator'!#REF!</f>
        <v>#REF!</v>
      </c>
      <c r="V23" s="3" t="e">
        <f>'Power Calculator'!#REF!</f>
        <v>#REF!</v>
      </c>
      <c r="W23" s="3" t="e">
        <f>'Power Calculator'!#REF!</f>
        <v>#REF!</v>
      </c>
      <c r="X23" s="27" t="e">
        <f>IF(AND(W23="Yes",#REF!&gt;0),(D23-U23-V23*#REF!),U23)</f>
        <v>#REF!</v>
      </c>
      <c r="Y23" s="27" t="e">
        <f>IF(AND(W23="Yes",#REF!&gt;0),D23-U23,U23+V23*#REF!)</f>
        <v>#REF!</v>
      </c>
      <c r="Z23" s="27" t="e">
        <f>MAX(M23,S23,Y23,G23)-IF(MIN(L23,IF(#REF!&gt;0,R23,1000),IF(#REF!&gt;0,X23,1000))&lt;1,1,MIN(L23,IF(#REF!&gt;0,R23,1000),IF(#REF!&gt;0,X23,1000)))</f>
        <v>#REF!</v>
      </c>
      <c r="AA23" s="27" t="e">
        <f>IF(J23=0.5,#REF!,0)+IF(P23=0.5,#REF!,0)+IF(V23=0.5,#REF!,0)</f>
        <v>#REF!</v>
      </c>
      <c r="AB23" s="27" t="e">
        <f>IF(J23=1,#REF!,0)+IF(P23=1,#REF!,0)+IF(V23=1,#REF!,0)</f>
        <v>#REF!</v>
      </c>
      <c r="AC23" s="27" t="e">
        <f>IF(J23=1.5,#REF!,0)+IF(P23=1.5,#REF!,0)+IF(V23=1.5,#REF!,0)</f>
        <v>#REF!</v>
      </c>
      <c r="AD23" s="27" t="e">
        <f>IF(J23=2,#REF!,0)+IF(P23=2,#REF!,0)+IF(V23=2,#REF!,0)</f>
        <v>#REF!</v>
      </c>
      <c r="AE23" s="27" t="e">
        <f>IF(J23=2.5,#REF!,0)+IF(P23=2.5,#REF!,0)+IF(V23=2.5,#REF!,0)</f>
        <v>#REF!</v>
      </c>
      <c r="AF23" s="27" t="e">
        <f>IF(J23=3,#REF!,0)+IF(P23=3,#REF!,0)+IF(V23=3,#REF!,0)</f>
        <v>#REF!</v>
      </c>
      <c r="AG23" s="27" t="e">
        <f>IF(J23=3.5,#REF!,0)+IF(P23=3.5,#REF!,0)+IF(V23=3.5,#REF!,0)</f>
        <v>#REF!</v>
      </c>
      <c r="AH23" s="27" t="e">
        <f>IF(J23=4,#REF!,0)+IF(P23=4,#REF!,0)+IF(V23=4,#REF!,0)</f>
        <v>#REF!</v>
      </c>
      <c r="AI23" s="27" t="e">
        <f>IF(J23=4.5,#REF!,0)+IF(P23=4.5,#REF!,0)+IF(V23=4.5,#REF!,0)</f>
        <v>#REF!</v>
      </c>
      <c r="AJ23" s="27" t="e">
        <f>IF(J23=5,#REF!,0)+IF(P23=5,#REF!,0)+IF(V23=5,#REF!,0)</f>
        <v>#REF!</v>
      </c>
      <c r="AK23" s="27" t="e">
        <f t="shared" si="10"/>
        <v>#REF!</v>
      </c>
      <c r="AL23" s="27" t="e">
        <f>(E23="Yes")+1+IF(#REF!&gt;0,1,0)+IF(#REF!&gt;0,1,0)</f>
        <v>#REF!</v>
      </c>
      <c r="AM23" s="27" t="e">
        <f t="shared" si="0"/>
        <v>#REF!</v>
      </c>
      <c r="AN23" s="19">
        <v>10.0007</v>
      </c>
      <c r="AO23" s="19">
        <f t="shared" si="11"/>
        <v>2.2935194006568099E-4</v>
      </c>
      <c r="AP23" s="19">
        <f t="shared" si="12"/>
        <v>9.9317223316913001E-5</v>
      </c>
      <c r="AQ23" s="19">
        <f t="shared" si="13"/>
        <v>9.2977222222222507E-6</v>
      </c>
      <c r="AR23" s="19">
        <f t="shared" si="14"/>
        <v>1.0160794061302701E-5</v>
      </c>
      <c r="AS23" s="19">
        <f t="shared" si="15"/>
        <v>1.1472967432950201E-5</v>
      </c>
      <c r="AT23" s="19">
        <f t="shared" si="1"/>
        <v>1.2870485632183901E-5</v>
      </c>
      <c r="AU23" s="19">
        <f t="shared" si="16"/>
        <v>1.4268003831417601E-5</v>
      </c>
      <c r="AV23" s="19">
        <f t="shared" si="2"/>
        <v>1.5645522030651349E-5</v>
      </c>
      <c r="AW23" s="19">
        <f t="shared" si="17"/>
        <v>1.70230402298851E-5</v>
      </c>
      <c r="AX23" s="19">
        <f t="shared" si="3"/>
        <v>2.4003992337164748E-5</v>
      </c>
      <c r="AY23" s="19">
        <f t="shared" si="18"/>
        <v>3.0984944444444397E-5</v>
      </c>
      <c r="AZ23" s="19">
        <f t="shared" si="4"/>
        <v>3.1063166666666644E-5</v>
      </c>
      <c r="BA23" s="19">
        <f t="shared" si="19"/>
        <v>3.1141388888888898E-5</v>
      </c>
      <c r="BB23" s="7"/>
      <c r="BC23" s="13" t="e">
        <f t="shared" si="5"/>
        <v>#REF!</v>
      </c>
      <c r="BD23" s="7"/>
    </row>
    <row r="24" spans="1:56" hidden="1" x14ac:dyDescent="0.25">
      <c r="A24" s="17"/>
      <c r="B24" s="3" t="e">
        <f>'Power Calculator'!#REF!</f>
        <v>#REF!</v>
      </c>
      <c r="C24" s="3" t="e">
        <f>'Power Calculator'!#REF!</f>
        <v>#REF!</v>
      </c>
      <c r="D24" s="3" t="e">
        <f>'Power Calculator'!#REF!</f>
        <v>#REF!</v>
      </c>
      <c r="E24" s="3" t="e">
        <f>'Power Calculator'!#REF!</f>
        <v>#REF!</v>
      </c>
      <c r="F24" s="22" t="e">
        <f t="shared" si="6"/>
        <v>#REF!</v>
      </c>
      <c r="G24" s="22" t="e">
        <f t="shared" si="7"/>
        <v>#REF!</v>
      </c>
      <c r="H24" s="22"/>
      <c r="I24" s="3" t="e">
        <f>'Power Calculator'!#REF!</f>
        <v>#REF!</v>
      </c>
      <c r="J24" s="3" t="e">
        <f>'Power Calculator'!#REF!</f>
        <v>#REF!</v>
      </c>
      <c r="K24" s="3" t="e">
        <f>'Power Calculator'!#REF!</f>
        <v>#REF!</v>
      </c>
      <c r="L24" s="22" t="e">
        <f>IF(K24="Yes",IF((D24-I24-J24*#REF!)&gt;2,D24-I24-J24*#REF!,2),I24)</f>
        <v>#REF!</v>
      </c>
      <c r="M24" s="22" t="e">
        <f>IF(K24="Yes",D24,I24+J24*#REF!)</f>
        <v>#REF!</v>
      </c>
      <c r="N24" s="22"/>
      <c r="O24" s="3" t="e">
        <f>'Power Calculator'!#REF!</f>
        <v>#REF!</v>
      </c>
      <c r="P24" s="3" t="e">
        <f>'Power Calculator'!#REF!</f>
        <v>#REF!</v>
      </c>
      <c r="Q24" s="3" t="e">
        <f>'Power Calculator'!#REF!</f>
        <v>#REF!</v>
      </c>
      <c r="R24" s="22" t="e">
        <f>IF(AND(Q24="Yes",#REF!&gt;0),(D24-O24-P24*#REF!),O24)</f>
        <v>#REF!</v>
      </c>
      <c r="S24" s="22" t="e">
        <f>IF(AND(Q24="Yes",#REF!&gt;0),D24-O24,O24+P24*#REF!)</f>
        <v>#REF!</v>
      </c>
      <c r="T24" s="22"/>
      <c r="U24" s="3" t="e">
        <f>'Power Calculator'!#REF!</f>
        <v>#REF!</v>
      </c>
      <c r="V24" s="3" t="e">
        <f>'Power Calculator'!#REF!</f>
        <v>#REF!</v>
      </c>
      <c r="W24" s="3" t="e">
        <f>'Power Calculator'!#REF!</f>
        <v>#REF!</v>
      </c>
      <c r="X24" s="27" t="e">
        <f>IF(AND(W24="Yes",#REF!&gt;0),(D24-U24-V24*#REF!),U24)</f>
        <v>#REF!</v>
      </c>
      <c r="Y24" s="27" t="e">
        <f>IF(AND(W24="Yes",#REF!&gt;0),D24-U24,U24+V24*#REF!)</f>
        <v>#REF!</v>
      </c>
      <c r="Z24" s="27" t="e">
        <f>MAX(M24,S24,Y24,G24)-IF(MIN(L24,IF(#REF!&gt;0,R24,1000),IF(#REF!&gt;0,X24,1000))&lt;1,1,MIN(L24,IF(#REF!&gt;0,R24,1000),IF(#REF!&gt;0,X24,1000)))</f>
        <v>#REF!</v>
      </c>
      <c r="AA24" s="27" t="e">
        <f>IF(J24=0.5,#REF!,0)+IF(P24=0.5,#REF!,0)+IF(V24=0.5,#REF!,0)</f>
        <v>#REF!</v>
      </c>
      <c r="AB24" s="27" t="e">
        <f>IF(J24=1,#REF!,0)+IF(P24=1,#REF!,0)+IF(V24=1,#REF!,0)</f>
        <v>#REF!</v>
      </c>
      <c r="AC24" s="27" t="e">
        <f>IF(J24=1.5,#REF!,0)+IF(P24=1.5,#REF!,0)+IF(V24=1.5,#REF!,0)</f>
        <v>#REF!</v>
      </c>
      <c r="AD24" s="27" t="e">
        <f>IF(J24=2,#REF!,0)+IF(P24=2,#REF!,0)+IF(V24=2,#REF!,0)</f>
        <v>#REF!</v>
      </c>
      <c r="AE24" s="27" t="e">
        <f>IF(J24=2.5,#REF!,0)+IF(P24=2.5,#REF!,0)+IF(V24=2.5,#REF!,0)</f>
        <v>#REF!</v>
      </c>
      <c r="AF24" s="27" t="e">
        <f>IF(J24=3,#REF!,0)+IF(P24=3,#REF!,0)+IF(V24=3,#REF!,0)</f>
        <v>#REF!</v>
      </c>
      <c r="AG24" s="27" t="e">
        <f>IF(J24=3.5,#REF!,0)+IF(P24=3.5,#REF!,0)+IF(V24=3.5,#REF!,0)</f>
        <v>#REF!</v>
      </c>
      <c r="AH24" s="27" t="e">
        <f>IF(J24=4,#REF!,0)+IF(P24=4,#REF!,0)+IF(V24=4,#REF!,0)</f>
        <v>#REF!</v>
      </c>
      <c r="AI24" s="27" t="e">
        <f>IF(J24=4.5,#REF!,0)+IF(P24=4.5,#REF!,0)+IF(V24=4.5,#REF!,0)</f>
        <v>#REF!</v>
      </c>
      <c r="AJ24" s="27" t="e">
        <f>IF(J24=5,#REF!,0)+IF(P24=5,#REF!,0)+IF(V24=5,#REF!,0)</f>
        <v>#REF!</v>
      </c>
      <c r="AK24" s="27" t="e">
        <f t="shared" si="10"/>
        <v>#REF!</v>
      </c>
      <c r="AL24" s="27" t="e">
        <f>(E24="Yes")+1+IF(#REF!&gt;0,1,0)+IF(#REF!&gt;0,1,0)</f>
        <v>#REF!</v>
      </c>
      <c r="AM24" s="27" t="e">
        <f t="shared" si="0"/>
        <v>#REF!</v>
      </c>
      <c r="AN24" s="19">
        <v>11.0007</v>
      </c>
      <c r="AO24" s="19">
        <f t="shared" si="11"/>
        <v>2.2935194006568099E-4</v>
      </c>
      <c r="AP24" s="19">
        <f t="shared" si="12"/>
        <v>9.9317223316913001E-5</v>
      </c>
      <c r="AQ24" s="19">
        <f t="shared" si="13"/>
        <v>9.2977222222222507E-6</v>
      </c>
      <c r="AR24" s="19">
        <f t="shared" si="14"/>
        <v>1.0160794061302701E-5</v>
      </c>
      <c r="AS24" s="19">
        <f t="shared" si="15"/>
        <v>1.1472967432950201E-5</v>
      </c>
      <c r="AT24" s="19">
        <f t="shared" si="1"/>
        <v>1.2870485632183901E-5</v>
      </c>
      <c r="AU24" s="19">
        <f t="shared" si="16"/>
        <v>1.4268003831417601E-5</v>
      </c>
      <c r="AV24" s="19">
        <f t="shared" si="2"/>
        <v>1.5645522030651349E-5</v>
      </c>
      <c r="AW24" s="19">
        <f t="shared" si="17"/>
        <v>1.70230402298851E-5</v>
      </c>
      <c r="AX24" s="19">
        <f t="shared" si="3"/>
        <v>2.4003992337164748E-5</v>
      </c>
      <c r="AY24" s="19">
        <f t="shared" si="18"/>
        <v>3.0984944444444397E-5</v>
      </c>
      <c r="AZ24" s="19">
        <f t="shared" si="4"/>
        <v>3.1063166666666644E-5</v>
      </c>
      <c r="BA24" s="19">
        <f t="shared" si="19"/>
        <v>3.1141388888888898E-5</v>
      </c>
      <c r="BB24" s="7"/>
      <c r="BC24" s="13" t="e">
        <f t="shared" si="5"/>
        <v>#REF!</v>
      </c>
      <c r="BD24" s="7"/>
    </row>
    <row r="25" spans="1:56" hidden="1" x14ac:dyDescent="0.25">
      <c r="A25" s="17"/>
      <c r="B25" s="3" t="e">
        <f>'Power Calculator'!#REF!</f>
        <v>#REF!</v>
      </c>
      <c r="C25" s="3" t="e">
        <f>'Power Calculator'!#REF!</f>
        <v>#REF!</v>
      </c>
      <c r="D25" s="3" t="e">
        <f>'Power Calculator'!#REF!</f>
        <v>#REF!</v>
      </c>
      <c r="E25" s="3" t="e">
        <f>'Power Calculator'!#REF!</f>
        <v>#REF!</v>
      </c>
      <c r="F25" s="22" t="e">
        <f t="shared" si="6"/>
        <v>#REF!</v>
      </c>
      <c r="G25" s="22" t="e">
        <f t="shared" si="7"/>
        <v>#REF!</v>
      </c>
      <c r="H25" s="22"/>
      <c r="I25" s="3" t="e">
        <f>'Power Calculator'!#REF!</f>
        <v>#REF!</v>
      </c>
      <c r="J25" s="3" t="e">
        <f>'Power Calculator'!#REF!</f>
        <v>#REF!</v>
      </c>
      <c r="K25" s="3" t="e">
        <f>'Power Calculator'!#REF!</f>
        <v>#REF!</v>
      </c>
      <c r="L25" s="22" t="e">
        <f>IF(K25="Yes",IF((D25-I25-J25*#REF!)&gt;2,D25-I25-J25*#REF!,2),I25)</f>
        <v>#REF!</v>
      </c>
      <c r="M25" s="22" t="e">
        <f>IF(K25="Yes",D25,I25+J25*#REF!)</f>
        <v>#REF!</v>
      </c>
      <c r="N25" s="22"/>
      <c r="O25" s="3" t="e">
        <f>'Power Calculator'!#REF!</f>
        <v>#REF!</v>
      </c>
      <c r="P25" s="3" t="e">
        <f>'Power Calculator'!#REF!</f>
        <v>#REF!</v>
      </c>
      <c r="Q25" s="3" t="e">
        <f>'Power Calculator'!#REF!</f>
        <v>#REF!</v>
      </c>
      <c r="R25" s="22" t="e">
        <f>IF(AND(Q25="Yes",#REF!&gt;0),(D25-O25-P25*#REF!),O25)</f>
        <v>#REF!</v>
      </c>
      <c r="S25" s="22" t="e">
        <f>IF(AND(Q25="Yes",#REF!&gt;0),D25-O25,O25+P25*#REF!)</f>
        <v>#REF!</v>
      </c>
      <c r="T25" s="22"/>
      <c r="U25" s="3" t="e">
        <f>'Power Calculator'!#REF!</f>
        <v>#REF!</v>
      </c>
      <c r="V25" s="3" t="e">
        <f>'Power Calculator'!#REF!</f>
        <v>#REF!</v>
      </c>
      <c r="W25" s="3" t="e">
        <f>'Power Calculator'!#REF!</f>
        <v>#REF!</v>
      </c>
      <c r="X25" s="27" t="e">
        <f>IF(AND(W25="Yes",#REF!&gt;0),(D25-U25-V25*#REF!),U25)</f>
        <v>#REF!</v>
      </c>
      <c r="Y25" s="27" t="e">
        <f>IF(AND(W25="Yes",#REF!&gt;0),D25-U25,U25+V25*#REF!)</f>
        <v>#REF!</v>
      </c>
      <c r="Z25" s="27" t="e">
        <f>MAX(M25,S25,Y25,G25)-IF(MIN(L25,IF(#REF!&gt;0,R25,1000),IF(#REF!&gt;0,X25,1000))&lt;1,1,MIN(L25,IF(#REF!&gt;0,R25,1000),IF(#REF!&gt;0,X25,1000)))</f>
        <v>#REF!</v>
      </c>
      <c r="AA25" s="27" t="e">
        <f>IF(J25=0.5,#REF!,0)+IF(P25=0.5,#REF!,0)+IF(V25=0.5,#REF!,0)</f>
        <v>#REF!</v>
      </c>
      <c r="AB25" s="27" t="e">
        <f>IF(J25=1,#REF!,0)+IF(P25=1,#REF!,0)+IF(V25=1,#REF!,0)</f>
        <v>#REF!</v>
      </c>
      <c r="AC25" s="27" t="e">
        <f>IF(J25=1.5,#REF!,0)+IF(P25=1.5,#REF!,0)+IF(V25=1.5,#REF!,0)</f>
        <v>#REF!</v>
      </c>
      <c r="AD25" s="27" t="e">
        <f>IF(J25=2,#REF!,0)+IF(P25=2,#REF!,0)+IF(V25=2,#REF!,0)</f>
        <v>#REF!</v>
      </c>
      <c r="AE25" s="27" t="e">
        <f>IF(J25=2.5,#REF!,0)+IF(P25=2.5,#REF!,0)+IF(V25=2.5,#REF!,0)</f>
        <v>#REF!</v>
      </c>
      <c r="AF25" s="27" t="e">
        <f>IF(J25=3,#REF!,0)+IF(P25=3,#REF!,0)+IF(V25=3,#REF!,0)</f>
        <v>#REF!</v>
      </c>
      <c r="AG25" s="27" t="e">
        <f>IF(J25=3.5,#REF!,0)+IF(P25=3.5,#REF!,0)+IF(V25=3.5,#REF!,0)</f>
        <v>#REF!</v>
      </c>
      <c r="AH25" s="27" t="e">
        <f>IF(J25=4,#REF!,0)+IF(P25=4,#REF!,0)+IF(V25=4,#REF!,0)</f>
        <v>#REF!</v>
      </c>
      <c r="AI25" s="27" t="e">
        <f>IF(J25=4.5,#REF!,0)+IF(P25=4.5,#REF!,0)+IF(V25=4.5,#REF!,0)</f>
        <v>#REF!</v>
      </c>
      <c r="AJ25" s="27" t="e">
        <f>IF(J25=5,#REF!,0)+IF(P25=5,#REF!,0)+IF(V25=5,#REF!,0)</f>
        <v>#REF!</v>
      </c>
      <c r="AK25" s="27" t="e">
        <f t="shared" si="10"/>
        <v>#REF!</v>
      </c>
      <c r="AL25" s="27" t="e">
        <f>(E25="Yes")+1+IF(#REF!&gt;0,1,0)+IF(#REF!&gt;0,1,0)</f>
        <v>#REF!</v>
      </c>
      <c r="AM25" s="27" t="e">
        <f t="shared" si="0"/>
        <v>#REF!</v>
      </c>
      <c r="AN25" s="19">
        <v>12.0007</v>
      </c>
      <c r="AO25" s="19">
        <f t="shared" si="11"/>
        <v>2.2935194006568099E-4</v>
      </c>
      <c r="AP25" s="19">
        <f t="shared" si="12"/>
        <v>9.9317223316913001E-5</v>
      </c>
      <c r="AQ25" s="19">
        <f t="shared" si="13"/>
        <v>9.2977222222222507E-6</v>
      </c>
      <c r="AR25" s="19">
        <f t="shared" si="14"/>
        <v>1.0160794061302701E-5</v>
      </c>
      <c r="AS25" s="19">
        <f t="shared" si="15"/>
        <v>1.1472967432950201E-5</v>
      </c>
      <c r="AT25" s="19">
        <f t="shared" si="1"/>
        <v>1.2870485632183901E-5</v>
      </c>
      <c r="AU25" s="19">
        <f t="shared" si="16"/>
        <v>1.4268003831417601E-5</v>
      </c>
      <c r="AV25" s="19">
        <f t="shared" si="2"/>
        <v>1.5645522030651349E-5</v>
      </c>
      <c r="AW25" s="19">
        <f t="shared" si="17"/>
        <v>1.70230402298851E-5</v>
      </c>
      <c r="AX25" s="19">
        <f t="shared" si="3"/>
        <v>2.4003992337164748E-5</v>
      </c>
      <c r="AY25" s="19">
        <f t="shared" si="18"/>
        <v>3.0984944444444397E-5</v>
      </c>
      <c r="AZ25" s="19">
        <f t="shared" si="4"/>
        <v>3.1063166666666644E-5</v>
      </c>
      <c r="BA25" s="19">
        <f t="shared" si="19"/>
        <v>3.1141388888888898E-5</v>
      </c>
      <c r="BB25" s="7"/>
      <c r="BC25" s="13" t="e">
        <f t="shared" si="5"/>
        <v>#REF!</v>
      </c>
      <c r="BD25" s="7"/>
    </row>
    <row r="26" spans="1:56" hidden="1" x14ac:dyDescent="0.25">
      <c r="A26" s="17"/>
      <c r="B26" s="3" t="e">
        <f>'Power Calculator'!#REF!</f>
        <v>#REF!</v>
      </c>
      <c r="C26" s="3" t="e">
        <f>'Power Calculator'!#REF!</f>
        <v>#REF!</v>
      </c>
      <c r="D26" s="3" t="e">
        <f>'Power Calculator'!#REF!</f>
        <v>#REF!</v>
      </c>
      <c r="E26" s="3" t="e">
        <f>'Power Calculator'!#REF!</f>
        <v>#REF!</v>
      </c>
      <c r="F26" s="22" t="e">
        <f t="shared" si="6"/>
        <v>#REF!</v>
      </c>
      <c r="G26" s="22" t="e">
        <f t="shared" si="7"/>
        <v>#REF!</v>
      </c>
      <c r="H26" s="22"/>
      <c r="I26" s="3" t="e">
        <f>'Power Calculator'!#REF!</f>
        <v>#REF!</v>
      </c>
      <c r="J26" s="3" t="e">
        <f>'Power Calculator'!#REF!</f>
        <v>#REF!</v>
      </c>
      <c r="K26" s="3" t="e">
        <f>'Power Calculator'!#REF!</f>
        <v>#REF!</v>
      </c>
      <c r="L26" s="22" t="e">
        <f>IF(K26="Yes",IF((D26-I26-J26*#REF!)&gt;2,D26-I26-J26*#REF!,2),I26)</f>
        <v>#REF!</v>
      </c>
      <c r="M26" s="22" t="e">
        <f>IF(K26="Yes",D26,I26+J26*#REF!)</f>
        <v>#REF!</v>
      </c>
      <c r="N26" s="22"/>
      <c r="O26" s="3" t="e">
        <f>'Power Calculator'!#REF!</f>
        <v>#REF!</v>
      </c>
      <c r="P26" s="3" t="e">
        <f>'Power Calculator'!#REF!</f>
        <v>#REF!</v>
      </c>
      <c r="Q26" s="3" t="e">
        <f>'Power Calculator'!#REF!</f>
        <v>#REF!</v>
      </c>
      <c r="R26" s="22" t="e">
        <f>IF(AND(Q26="Yes",#REF!&gt;0),(D26-O26-P26*#REF!),O26)</f>
        <v>#REF!</v>
      </c>
      <c r="S26" s="22" t="e">
        <f>IF(AND(Q26="Yes",#REF!&gt;0),D26-O26,O26+P26*#REF!)</f>
        <v>#REF!</v>
      </c>
      <c r="T26" s="22"/>
      <c r="U26" s="3" t="e">
        <f>'Power Calculator'!#REF!</f>
        <v>#REF!</v>
      </c>
      <c r="V26" s="3" t="e">
        <f>'Power Calculator'!#REF!</f>
        <v>#REF!</v>
      </c>
      <c r="W26" s="3" t="e">
        <f>'Power Calculator'!#REF!</f>
        <v>#REF!</v>
      </c>
      <c r="X26" s="27" t="e">
        <f>IF(AND(W26="Yes",#REF!&gt;0),(D26-U26-V26*#REF!),U26)</f>
        <v>#REF!</v>
      </c>
      <c r="Y26" s="27" t="e">
        <f>IF(AND(W26="Yes",#REF!&gt;0),D26-U26,U26+V26*#REF!)</f>
        <v>#REF!</v>
      </c>
      <c r="Z26" s="27" t="e">
        <f>MAX(M26,S26,Y26,G26)-IF(MIN(L26,IF(#REF!&gt;0,R26,1000),IF(#REF!&gt;0,X26,1000))&lt;1,1,MIN(L26,IF(#REF!&gt;0,R26,1000),IF(#REF!&gt;0,X26,1000)))</f>
        <v>#REF!</v>
      </c>
      <c r="AA26" s="27" t="e">
        <f>IF(J26=0.5,#REF!,0)+IF(P26=0.5,#REF!,0)+IF(V26=0.5,#REF!,0)</f>
        <v>#REF!</v>
      </c>
      <c r="AB26" s="27" t="e">
        <f>IF(J26=1,#REF!,0)+IF(P26=1,#REF!,0)+IF(V26=1,#REF!,0)</f>
        <v>#REF!</v>
      </c>
      <c r="AC26" s="27" t="e">
        <f>IF(J26=1.5,#REF!,0)+IF(P26=1.5,#REF!,0)+IF(V26=1.5,#REF!,0)</f>
        <v>#REF!</v>
      </c>
      <c r="AD26" s="27" t="e">
        <f>IF(J26=2,#REF!,0)+IF(P26=2,#REF!,0)+IF(V26=2,#REF!,0)</f>
        <v>#REF!</v>
      </c>
      <c r="AE26" s="27" t="e">
        <f>IF(J26=2.5,#REF!,0)+IF(P26=2.5,#REF!,0)+IF(V26=2.5,#REF!,0)</f>
        <v>#REF!</v>
      </c>
      <c r="AF26" s="27" t="e">
        <f>IF(J26=3,#REF!,0)+IF(P26=3,#REF!,0)+IF(V26=3,#REF!,0)</f>
        <v>#REF!</v>
      </c>
      <c r="AG26" s="27" t="e">
        <f>IF(J26=3.5,#REF!,0)+IF(P26=3.5,#REF!,0)+IF(V26=3.5,#REF!,0)</f>
        <v>#REF!</v>
      </c>
      <c r="AH26" s="27" t="e">
        <f>IF(J26=4,#REF!,0)+IF(P26=4,#REF!,0)+IF(V26=4,#REF!,0)</f>
        <v>#REF!</v>
      </c>
      <c r="AI26" s="27" t="e">
        <f>IF(J26=4.5,#REF!,0)+IF(P26=4.5,#REF!,0)+IF(V26=4.5,#REF!,0)</f>
        <v>#REF!</v>
      </c>
      <c r="AJ26" s="27" t="e">
        <f>IF(J26=5,#REF!,0)+IF(P26=5,#REF!,0)+IF(V26=5,#REF!,0)</f>
        <v>#REF!</v>
      </c>
      <c r="AK26" s="27" t="e">
        <f t="shared" si="10"/>
        <v>#REF!</v>
      </c>
      <c r="AL26" s="27" t="e">
        <f>(E26="Yes")+1+IF(#REF!&gt;0,1,0)+IF(#REF!&gt;0,1,0)</f>
        <v>#REF!</v>
      </c>
      <c r="AM26" s="27" t="e">
        <f t="shared" si="0"/>
        <v>#REF!</v>
      </c>
      <c r="AN26" s="19">
        <v>13.0007</v>
      </c>
      <c r="AO26" s="19">
        <f t="shared" si="11"/>
        <v>2.2935194006568099E-4</v>
      </c>
      <c r="AP26" s="19">
        <f t="shared" si="12"/>
        <v>9.9317223316913001E-5</v>
      </c>
      <c r="AQ26" s="19">
        <f t="shared" si="13"/>
        <v>9.2977222222222507E-6</v>
      </c>
      <c r="AR26" s="19">
        <f t="shared" si="14"/>
        <v>1.0160794061302701E-5</v>
      </c>
      <c r="AS26" s="19">
        <f t="shared" si="15"/>
        <v>1.1472967432950201E-5</v>
      </c>
      <c r="AT26" s="19">
        <f t="shared" si="1"/>
        <v>1.2870485632183901E-5</v>
      </c>
      <c r="AU26" s="19">
        <f t="shared" si="16"/>
        <v>1.4268003831417601E-5</v>
      </c>
      <c r="AV26" s="19">
        <f t="shared" si="2"/>
        <v>1.5645522030651349E-5</v>
      </c>
      <c r="AW26" s="19">
        <f t="shared" si="17"/>
        <v>1.70230402298851E-5</v>
      </c>
      <c r="AX26" s="19">
        <f t="shared" si="3"/>
        <v>2.4003992337164748E-5</v>
      </c>
      <c r="AY26" s="19">
        <f t="shared" si="18"/>
        <v>3.0984944444444397E-5</v>
      </c>
      <c r="AZ26" s="19">
        <f t="shared" si="4"/>
        <v>3.1063166666666644E-5</v>
      </c>
      <c r="BA26" s="19">
        <f t="shared" si="19"/>
        <v>3.1141388888888898E-5</v>
      </c>
      <c r="BB26" s="7"/>
      <c r="BC26" s="13" t="e">
        <f t="shared" si="5"/>
        <v>#REF!</v>
      </c>
      <c r="BD26" s="7"/>
    </row>
    <row r="27" spans="1:56" x14ac:dyDescent="0.25">
      <c r="A27" s="17"/>
      <c r="B27" s="17"/>
      <c r="C27" s="17"/>
      <c r="D27" s="17"/>
      <c r="E27" s="17"/>
      <c r="F27" s="23"/>
      <c r="G27" s="23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7"/>
      <c r="BB27" s="7"/>
      <c r="BC27" s="7"/>
      <c r="BD27" s="7"/>
    </row>
    <row r="28" spans="1:56" x14ac:dyDescent="0.25">
      <c r="A28" s="17"/>
      <c r="B28" s="17"/>
      <c r="C28" s="17"/>
      <c r="D28" s="17"/>
      <c r="E28" s="17"/>
      <c r="F28" s="23"/>
      <c r="G28" s="23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7"/>
      <c r="X28" s="19">
        <v>2</v>
      </c>
      <c r="BB28" s="7"/>
      <c r="BC28" s="7"/>
      <c r="BD28" s="7"/>
    </row>
    <row r="29" spans="1:56" hidden="1" x14ac:dyDescent="0.25">
      <c r="A29" s="2"/>
      <c r="B29" s="2"/>
      <c r="C29" s="2"/>
      <c r="D29" s="2"/>
      <c r="E29" s="2"/>
      <c r="F29" s="23"/>
      <c r="G29" s="23"/>
      <c r="H29" s="23"/>
      <c r="I29" s="2"/>
      <c r="J29" s="2"/>
      <c r="K29" s="2"/>
      <c r="L29" s="23"/>
      <c r="M29" s="23"/>
      <c r="N29" s="23"/>
      <c r="O29" s="2"/>
      <c r="P29" s="2"/>
      <c r="Q29" s="2"/>
      <c r="R29" s="23"/>
      <c r="S29" s="23"/>
      <c r="T29" s="23"/>
      <c r="U29" s="2"/>
      <c r="V29" s="2"/>
    </row>
    <row r="30" spans="1:56" hidden="1" x14ac:dyDescent="0.25">
      <c r="A30" s="2"/>
      <c r="B30" s="2"/>
      <c r="C30" s="2"/>
      <c r="D30" s="2"/>
      <c r="E30" s="2"/>
      <c r="F30" s="23"/>
      <c r="G30" s="23"/>
      <c r="H30" s="23"/>
      <c r="I30" s="2"/>
      <c r="J30" s="2"/>
      <c r="K30" s="2"/>
      <c r="L30" s="23"/>
      <c r="M30" s="23"/>
      <c r="N30" s="23"/>
      <c r="O30" s="2"/>
      <c r="P30" s="2"/>
      <c r="Q30" s="2"/>
      <c r="R30" s="23"/>
      <c r="S30" s="23"/>
      <c r="T30" s="23"/>
      <c r="U30" s="2"/>
      <c r="V30" s="2"/>
    </row>
    <row r="31" spans="1:56" hidden="1" x14ac:dyDescent="0.25">
      <c r="A31" s="2"/>
      <c r="B31" s="2"/>
      <c r="C31" s="2"/>
      <c r="D31" s="2"/>
      <c r="E31" s="2"/>
      <c r="F31" s="23"/>
      <c r="G31" s="23"/>
      <c r="H31" s="23"/>
      <c r="I31" s="2"/>
      <c r="J31" s="2"/>
      <c r="K31" s="2"/>
      <c r="L31" s="23"/>
      <c r="M31" s="23"/>
      <c r="N31" s="23"/>
      <c r="O31" s="2"/>
      <c r="P31" s="2"/>
      <c r="Q31" s="2"/>
      <c r="R31" s="23"/>
      <c r="S31" s="23"/>
      <c r="T31" s="23"/>
      <c r="U31" s="2"/>
      <c r="V31" s="2"/>
    </row>
    <row r="32" spans="1:56" hidden="1" x14ac:dyDescent="0.25">
      <c r="A32" s="2"/>
      <c r="B32" s="2"/>
      <c r="C32" s="2"/>
      <c r="D32" s="2"/>
      <c r="E32" s="2"/>
      <c r="F32" s="23"/>
      <c r="G32" s="23"/>
      <c r="H32" s="23"/>
      <c r="I32" s="2"/>
      <c r="J32" s="2"/>
      <c r="K32" s="2"/>
      <c r="L32" s="23"/>
      <c r="M32" s="23"/>
      <c r="N32" s="23"/>
      <c r="O32" s="2"/>
      <c r="P32" s="2"/>
      <c r="Q32" s="2"/>
      <c r="R32" s="23"/>
      <c r="S32" s="23"/>
      <c r="T32" s="23"/>
      <c r="U32" s="2"/>
      <c r="V32" s="2"/>
    </row>
    <row r="33" spans="1:22" hidden="1" x14ac:dyDescent="0.25">
      <c r="A33" s="2"/>
      <c r="B33" s="2"/>
      <c r="C33" s="2"/>
      <c r="D33" s="2"/>
      <c r="E33" s="2"/>
      <c r="F33" s="23"/>
      <c r="G33" s="23"/>
      <c r="H33" s="23"/>
      <c r="I33" s="2"/>
      <c r="J33" s="2"/>
      <c r="K33" s="2"/>
      <c r="L33" s="23"/>
      <c r="M33" s="23"/>
      <c r="N33" s="23"/>
      <c r="O33" s="2"/>
      <c r="P33" s="2"/>
      <c r="Q33" s="2"/>
      <c r="R33" s="23"/>
      <c r="S33" s="23"/>
      <c r="T33" s="23"/>
      <c r="U33" s="2"/>
      <c r="V33" s="2"/>
    </row>
    <row r="34" spans="1:22" hidden="1" x14ac:dyDescent="0.25">
      <c r="A34" s="2"/>
      <c r="B34" s="2"/>
      <c r="C34" s="2"/>
      <c r="D34" s="2"/>
      <c r="E34" s="2"/>
      <c r="F34" s="23"/>
      <c r="G34" s="23"/>
      <c r="H34" s="23"/>
      <c r="I34" s="2"/>
      <c r="J34" s="2"/>
      <c r="K34" s="2"/>
      <c r="L34" s="23"/>
      <c r="M34" s="23"/>
      <c r="N34" s="23"/>
      <c r="O34" s="2"/>
      <c r="P34" s="2"/>
      <c r="Q34" s="2"/>
      <c r="R34" s="23"/>
      <c r="S34" s="23"/>
      <c r="T34" s="23"/>
      <c r="U34" s="2"/>
      <c r="V34" s="2"/>
    </row>
    <row r="35" spans="1:22" hidden="1" x14ac:dyDescent="0.25">
      <c r="A35" s="2"/>
      <c r="B35" s="2"/>
      <c r="C35" s="2"/>
      <c r="D35" s="2"/>
      <c r="E35" s="2"/>
      <c r="F35" s="23"/>
      <c r="G35" s="23"/>
      <c r="H35" s="23"/>
      <c r="I35" s="2"/>
      <c r="J35" s="2"/>
      <c r="K35" s="2"/>
      <c r="L35" s="23"/>
      <c r="M35" s="23"/>
      <c r="N35" s="23"/>
      <c r="O35" s="2"/>
      <c r="P35" s="2"/>
      <c r="Q35" s="2"/>
      <c r="R35" s="23"/>
      <c r="S35" s="23"/>
      <c r="T35" s="23"/>
      <c r="U35" s="2"/>
      <c r="V35" s="2"/>
    </row>
    <row r="36" spans="1:22" hidden="1" x14ac:dyDescent="0.25">
      <c r="A36" s="2"/>
      <c r="B36" s="2"/>
      <c r="C36" s="2"/>
      <c r="D36" s="2"/>
      <c r="E36" s="2"/>
      <c r="F36" s="23"/>
      <c r="G36" s="23"/>
      <c r="H36" s="23"/>
      <c r="I36" s="2"/>
      <c r="J36" s="2"/>
      <c r="K36" s="2"/>
      <c r="L36" s="23"/>
      <c r="M36" s="23"/>
      <c r="N36" s="23"/>
      <c r="O36" s="2"/>
      <c r="P36" s="2"/>
      <c r="Q36" s="2"/>
      <c r="R36" s="23"/>
      <c r="S36" s="23"/>
      <c r="T36" s="23"/>
      <c r="U36" s="2"/>
      <c r="V36" s="2"/>
    </row>
    <row r="37" spans="1:22" hidden="1" x14ac:dyDescent="0.25">
      <c r="A37" s="2"/>
      <c r="B37" s="2"/>
      <c r="C37" s="2"/>
      <c r="D37" s="2"/>
      <c r="E37" s="2"/>
      <c r="F37" s="23"/>
      <c r="G37" s="23"/>
      <c r="H37" s="23"/>
      <c r="I37" s="2"/>
      <c r="J37" s="2"/>
      <c r="K37" s="2"/>
      <c r="L37" s="23"/>
      <c r="M37" s="23"/>
      <c r="N37" s="23"/>
      <c r="O37" s="2"/>
      <c r="P37" s="2"/>
      <c r="Q37" s="2"/>
      <c r="R37" s="23"/>
      <c r="S37" s="23"/>
      <c r="T37" s="23"/>
      <c r="U37" s="2"/>
      <c r="V37" s="2"/>
    </row>
  </sheetData>
  <sheetProtection sheet="1" objects="1" scenarios="1"/>
  <mergeCells count="9">
    <mergeCell ref="B6:Z7"/>
    <mergeCell ref="B8:Y8"/>
    <mergeCell ref="A1:BD4"/>
    <mergeCell ref="B11:E11"/>
    <mergeCell ref="F11:G11"/>
    <mergeCell ref="B10:W10"/>
    <mergeCell ref="H11:K11"/>
    <mergeCell ref="N11:Q11"/>
    <mergeCell ref="T11:W11"/>
  </mergeCells>
  <conditionalFormatting sqref="I13:I17">
    <cfRule type="expression" dxfId="3" priority="16">
      <formula>OR($O13&lt;1,NOT(ISNUMBER($B13)))</formula>
    </cfRule>
  </conditionalFormatting>
  <conditionalFormatting sqref="J13:K17">
    <cfRule type="expression" dxfId="2" priority="15">
      <formula>OR($O13&lt;1,NOT(ISNUMBER($B13)))</formula>
    </cfRule>
  </conditionalFormatting>
  <conditionalFormatting sqref="O13:Q17">
    <cfRule type="expression" dxfId="1" priority="4">
      <formula>OR($N13&lt;1,NOT(ISNUMBER($B13)))</formula>
    </cfRule>
  </conditionalFormatting>
  <conditionalFormatting sqref="U13:W17">
    <cfRule type="expression" dxfId="0" priority="2">
      <formula>OR($T13&lt;1,NOT(ISNUMBER($B13)))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Lists!$F$3:$F$13</xm:f>
          </x14:formula1>
          <xm:sqref>B13:B17</xm:sqref>
        </x14:dataValidation>
        <x14:dataValidation type="list" allowBlank="1" showInputMessage="1" showErrorMessage="1">
          <x14:formula1>
            <xm:f>Lists!$C$3:$C$23</xm:f>
          </x14:formula1>
          <xm:sqref>C13:C17</xm:sqref>
        </x14:dataValidation>
        <x14:dataValidation type="list" allowBlank="1" showInputMessage="1" showErrorMessage="1">
          <x14:formula1>
            <xm:f>Lists!$E$3:$E$4</xm:f>
          </x14:formula1>
          <xm:sqref>E13:E17 K13:K17 Q13:Q17 W13:W17</xm:sqref>
        </x14:dataValidation>
        <x14:dataValidation type="list" allowBlank="1" showInputMessage="1" showErrorMessage="1">
          <x14:formula1>
            <xm:f>Lists!$D$3:$D$66</xm:f>
          </x14:formula1>
          <xm:sqref>I13:I17 O13:O17 U13:U17</xm:sqref>
        </x14:dataValidation>
        <x14:dataValidation type="list" allowBlank="1" showInputMessage="1" showErrorMessage="1">
          <x14:formula1>
            <xm:f>Lists!$A$3:$A$12</xm:f>
          </x14:formula1>
          <xm:sqref>J13:J17 P13:P17 V13:V17</xm:sqref>
        </x14:dataValidation>
        <x14:dataValidation type="list" allowBlank="1" showInputMessage="1" showErrorMessage="1">
          <x14:formula1>
            <xm:f>Lists!$B$3:$B$26</xm:f>
          </x14:formula1>
          <xm:sqref>H13:H17</xm:sqref>
        </x14:dataValidation>
        <x14:dataValidation type="list" allowBlank="1" showInputMessage="1" showErrorMessage="1">
          <x14:formula1>
            <xm:f>Lists!$B$2:$B$26</xm:f>
          </x14:formula1>
          <xm:sqref>N13:N17 T13:T17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F28"/>
  <sheetViews>
    <sheetView topLeftCell="Q4" workbookViewId="0">
      <selection activeCell="Z13" sqref="Z13"/>
    </sheetView>
  </sheetViews>
  <sheetFormatPr defaultColWidth="0" defaultRowHeight="15" zeroHeight="1" x14ac:dyDescent="0.25"/>
  <cols>
    <col min="1" max="1" width="5.85546875" customWidth="1"/>
    <col min="2" max="2" width="10.28515625" customWidth="1"/>
    <col min="3" max="4" width="9.140625" customWidth="1"/>
    <col min="5" max="5" width="9.140625" style="19" customWidth="1"/>
    <col min="6" max="6" width="9.140625" customWidth="1"/>
    <col min="7" max="9" width="9.140625" style="19" customWidth="1"/>
    <col min="10" max="12" width="9.140625" customWidth="1"/>
    <col min="13" max="13" width="11" customWidth="1"/>
    <col min="14" max="15" width="9.140625" style="19" customWidth="1"/>
    <col min="16" max="18" width="9.140625" customWidth="1"/>
    <col min="19" max="19" width="10.5703125" customWidth="1"/>
    <col min="20" max="21" width="9.140625" style="19" customWidth="1"/>
    <col min="22" max="24" width="9.140625" customWidth="1"/>
    <col min="25" max="25" width="10.85546875" customWidth="1"/>
    <col min="26" max="42" width="9.140625" style="23" customWidth="1"/>
    <col min="43" max="43" width="12.85546875" style="23" customWidth="1"/>
    <col min="44" max="59" width="9.140625" style="19" customWidth="1"/>
    <col min="60" max="60" width="3.140625" customWidth="1"/>
    <col min="61" max="61" width="21.28515625" customWidth="1"/>
    <col min="62" max="62" width="5.28515625" customWidth="1"/>
    <col min="63" max="64" width="0" hidden="1" customWidth="1"/>
    <col min="65" max="65" width="11.7109375" hidden="1" customWidth="1"/>
    <col min="66" max="67" width="0" hidden="1" customWidth="1"/>
    <col min="68" max="68" width="13" hidden="1" customWidth="1"/>
    <col min="69" max="71" width="0" hidden="1" customWidth="1"/>
    <col min="72" max="72" width="12" hidden="1" customWidth="1"/>
    <col min="73" max="75" width="0" hidden="1" customWidth="1"/>
    <col min="76" max="76" width="19.140625" hidden="1" customWidth="1"/>
    <col min="77" max="110" width="0" hidden="1" customWidth="1"/>
    <col min="111" max="431" width="9.140625" hidden="1" customWidth="1"/>
    <col min="432" max="16384" width="9.140625" hidden="1"/>
  </cols>
  <sheetData>
    <row r="1" spans="1:107" ht="13.5" customHeight="1" x14ac:dyDescent="0.25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</row>
    <row r="2" spans="1:107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</row>
    <row r="3" spans="1:107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</row>
    <row r="4" spans="1:107" ht="36.75" customHeight="1" x14ac:dyDescent="0.25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</row>
    <row r="5" spans="1:107" x14ac:dyDescent="0.25">
      <c r="A5" s="7"/>
      <c r="B5" s="7"/>
      <c r="C5" s="7"/>
      <c r="D5" s="7"/>
      <c r="F5" s="7"/>
      <c r="J5" s="7"/>
      <c r="K5" s="7"/>
      <c r="L5" s="7"/>
      <c r="M5" s="7"/>
      <c r="P5" s="7"/>
      <c r="Q5" s="7"/>
      <c r="R5" s="7"/>
      <c r="S5" s="7"/>
      <c r="V5" s="7"/>
      <c r="W5" s="7"/>
      <c r="X5" s="7"/>
      <c r="Y5" s="7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BH5" s="7"/>
      <c r="BI5" s="7"/>
      <c r="BJ5" s="7"/>
    </row>
    <row r="6" spans="1:107" ht="15" customHeight="1" x14ac:dyDescent="0.25">
      <c r="A6" s="7"/>
      <c r="B6" s="137" t="s">
        <v>69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BH6" s="7"/>
      <c r="BI6" s="7"/>
      <c r="BJ6" s="7"/>
    </row>
    <row r="7" spans="1:107" x14ac:dyDescent="0.25">
      <c r="A7" s="7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BH7" s="7"/>
      <c r="BI7" s="7"/>
      <c r="BJ7" s="7"/>
    </row>
    <row r="8" spans="1:107" ht="23.25" x14ac:dyDescent="0.35">
      <c r="A8" s="7"/>
      <c r="B8" s="160" t="s">
        <v>85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20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BH8" s="7"/>
      <c r="BI8" s="7"/>
      <c r="BJ8" s="7"/>
    </row>
    <row r="9" spans="1:107" ht="23.25" x14ac:dyDescent="0.35">
      <c r="A9" s="7"/>
      <c r="B9" s="8"/>
      <c r="C9" s="8"/>
      <c r="D9" s="8"/>
      <c r="E9" s="20"/>
      <c r="F9" s="8"/>
      <c r="G9" s="20"/>
      <c r="H9" s="20"/>
      <c r="I9" s="20"/>
      <c r="J9" s="8"/>
      <c r="K9" s="8"/>
      <c r="L9" s="8"/>
      <c r="M9" s="8"/>
      <c r="N9" s="20"/>
      <c r="O9" s="20"/>
      <c r="P9" s="8"/>
      <c r="Q9" s="8"/>
      <c r="R9" s="8"/>
      <c r="S9" s="8"/>
      <c r="T9" s="20"/>
      <c r="U9" s="20"/>
      <c r="V9" s="8"/>
      <c r="W9" s="8"/>
      <c r="X9" s="8"/>
      <c r="Y9" s="8"/>
      <c r="Z9" s="20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BH9" s="7"/>
      <c r="BI9" s="7"/>
      <c r="BJ9" s="7"/>
    </row>
    <row r="10" spans="1:107" ht="15.75" x14ac:dyDescent="0.25">
      <c r="A10" s="7"/>
      <c r="B10" s="166" t="s">
        <v>71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8"/>
      <c r="Z10" s="20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BH10" s="14"/>
      <c r="BI10" s="10" t="s">
        <v>77</v>
      </c>
      <c r="BJ10" s="7"/>
    </row>
    <row r="11" spans="1:107" x14ac:dyDescent="0.25">
      <c r="A11" s="7"/>
      <c r="B11" s="162" t="s">
        <v>72</v>
      </c>
      <c r="C11" s="163"/>
      <c r="D11" s="163"/>
      <c r="E11" s="163"/>
      <c r="F11" s="173"/>
      <c r="G11" s="22" t="s">
        <v>19</v>
      </c>
      <c r="H11" s="22"/>
      <c r="I11" s="22"/>
      <c r="J11" s="162" t="s">
        <v>5</v>
      </c>
      <c r="K11" s="163"/>
      <c r="L11" s="163"/>
      <c r="M11" s="173"/>
      <c r="N11" s="22"/>
      <c r="O11" s="22"/>
      <c r="P11" s="162" t="s">
        <v>6</v>
      </c>
      <c r="Q11" s="163"/>
      <c r="R11" s="163"/>
      <c r="S11" s="173"/>
      <c r="T11" s="22"/>
      <c r="U11" s="22"/>
      <c r="V11" s="162" t="s">
        <v>7</v>
      </c>
      <c r="W11" s="163"/>
      <c r="X11" s="163"/>
      <c r="Y11" s="173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BH11" s="14"/>
      <c r="BI11" s="11" t="s">
        <v>78</v>
      </c>
      <c r="BJ11" s="7"/>
    </row>
    <row r="12" spans="1:107" ht="45" x14ac:dyDescent="0.25">
      <c r="A12" s="7"/>
      <c r="B12" s="15" t="s">
        <v>64</v>
      </c>
      <c r="C12" s="15" t="s">
        <v>22</v>
      </c>
      <c r="D12" s="15" t="s">
        <v>65</v>
      </c>
      <c r="E12" s="28" t="s">
        <v>0</v>
      </c>
      <c r="F12" s="15" t="s">
        <v>25</v>
      </c>
      <c r="G12" s="28" t="s">
        <v>4</v>
      </c>
      <c r="H12" s="28" t="s">
        <v>8</v>
      </c>
      <c r="I12" s="28" t="s">
        <v>9</v>
      </c>
      <c r="J12" s="15" t="s">
        <v>66</v>
      </c>
      <c r="K12" s="15" t="s">
        <v>82</v>
      </c>
      <c r="L12" s="15" t="s">
        <v>23</v>
      </c>
      <c r="M12" s="15" t="s">
        <v>24</v>
      </c>
      <c r="N12" s="29" t="s">
        <v>13</v>
      </c>
      <c r="O12" s="29" t="s">
        <v>14</v>
      </c>
      <c r="P12" s="15" t="s">
        <v>21</v>
      </c>
      <c r="Q12" s="15" t="s">
        <v>82</v>
      </c>
      <c r="R12" s="15" t="s">
        <v>23</v>
      </c>
      <c r="S12" s="15" t="s">
        <v>24</v>
      </c>
      <c r="T12" s="29" t="s">
        <v>13</v>
      </c>
      <c r="U12" s="29" t="s">
        <v>14</v>
      </c>
      <c r="V12" s="15" t="s">
        <v>21</v>
      </c>
      <c r="W12" s="15" t="s">
        <v>82</v>
      </c>
      <c r="X12" s="15" t="s">
        <v>23</v>
      </c>
      <c r="Y12" s="15" t="s">
        <v>24</v>
      </c>
      <c r="Z12" s="29" t="s">
        <v>13</v>
      </c>
      <c r="AA12" s="29" t="s">
        <v>14</v>
      </c>
      <c r="AB12" s="29" t="s">
        <v>20</v>
      </c>
      <c r="AC12" s="29" t="s">
        <v>15</v>
      </c>
      <c r="AD12" s="29" t="s">
        <v>26</v>
      </c>
      <c r="AE12" s="29" t="s">
        <v>11</v>
      </c>
      <c r="AF12" s="29" t="s">
        <v>49</v>
      </c>
      <c r="AG12" s="29" t="s">
        <v>10</v>
      </c>
      <c r="AH12" s="29" t="s">
        <v>27</v>
      </c>
      <c r="AI12" s="29" t="s">
        <v>50</v>
      </c>
      <c r="AJ12" s="29" t="s">
        <v>36</v>
      </c>
      <c r="AK12" s="29" t="s">
        <v>52</v>
      </c>
      <c r="AL12" s="29" t="s">
        <v>3</v>
      </c>
      <c r="AM12" s="29" t="s">
        <v>51</v>
      </c>
      <c r="AN12" s="29" t="s">
        <v>12</v>
      </c>
      <c r="AO12" s="29" t="s">
        <v>18</v>
      </c>
      <c r="AP12" s="29" t="s">
        <v>17</v>
      </c>
      <c r="AQ12" s="29" t="s">
        <v>16</v>
      </c>
      <c r="AR12" s="19" t="s">
        <v>2</v>
      </c>
      <c r="AS12" s="19" t="s">
        <v>59</v>
      </c>
      <c r="AT12" s="19" t="s">
        <v>58</v>
      </c>
      <c r="AU12" s="19" t="s">
        <v>57</v>
      </c>
      <c r="AV12" s="19" t="s">
        <v>43</v>
      </c>
      <c r="AW12" s="19" t="s">
        <v>32</v>
      </c>
      <c r="AX12" s="19" t="s">
        <v>44</v>
      </c>
      <c r="AY12" s="19" t="s">
        <v>60</v>
      </c>
      <c r="AZ12" s="19" t="s">
        <v>56</v>
      </c>
      <c r="BA12" s="19" t="s">
        <v>55</v>
      </c>
      <c r="BB12" s="19" t="s">
        <v>61</v>
      </c>
      <c r="BC12" s="19" t="s">
        <v>62</v>
      </c>
      <c r="BD12" s="19" t="s">
        <v>54</v>
      </c>
      <c r="BE12" s="19" t="s">
        <v>53</v>
      </c>
      <c r="BF12" s="19" t="s">
        <v>17</v>
      </c>
      <c r="BG12" s="19" t="s">
        <v>31</v>
      </c>
      <c r="BH12" s="14"/>
      <c r="BI12" s="12" t="s">
        <v>79</v>
      </c>
      <c r="BJ12" s="7"/>
    </row>
    <row r="13" spans="1:107" x14ac:dyDescent="0.25">
      <c r="A13" s="7"/>
      <c r="B13" s="5">
        <f>'Power Calculator'!B13</f>
        <v>10</v>
      </c>
      <c r="C13" s="5">
        <f>'Power Calculator'!D13</f>
        <v>150</v>
      </c>
      <c r="D13" s="5">
        <f>'Power Calculator'!E13</f>
        <v>50</v>
      </c>
      <c r="E13" s="22"/>
      <c r="F13" s="5" t="str">
        <f>'Power Calculator'!F13</f>
        <v>No</v>
      </c>
      <c r="G13" s="22">
        <v>2</v>
      </c>
      <c r="H13" s="22">
        <v>2</v>
      </c>
      <c r="I13" s="22">
        <f>FLOOR(MAX(7,AB13/2+1),1)</f>
        <v>7</v>
      </c>
      <c r="J13" s="5">
        <f>'Power Calculator'!H13</f>
        <v>2</v>
      </c>
      <c r="K13" s="5">
        <f>'Power Calculator'!I13</f>
        <v>2</v>
      </c>
      <c r="L13" s="5">
        <f>'Power Calculator'!G13</f>
        <v>2</v>
      </c>
      <c r="M13" s="5" t="str">
        <f>'Power Calculator'!J13</f>
        <v>No</v>
      </c>
      <c r="N13" s="22">
        <f>IF(M13="Yes",IF((D13-J13-K13*L13)&gt;2,D13-J13-K13*L13,2),J13)</f>
        <v>2</v>
      </c>
      <c r="O13" s="22">
        <f>IF(M13="Yes",D13,J13+K13*L13)</f>
        <v>6</v>
      </c>
      <c r="P13" s="5">
        <f>'Power Calculator'!L13</f>
        <v>1</v>
      </c>
      <c r="Q13" s="5">
        <f>'Power Calculator'!M13</f>
        <v>1</v>
      </c>
      <c r="R13" s="5">
        <f>'Power Calculator'!K13</f>
        <v>0</v>
      </c>
      <c r="S13" s="5" t="str">
        <f>'Power Calculator'!N13</f>
        <v>No</v>
      </c>
      <c r="T13" s="22">
        <f>IF(AND(S13="Yes",R13&gt;0),(D13-P13-Q13*R13),P13)</f>
        <v>1</v>
      </c>
      <c r="U13" s="22">
        <f>IF(AND(S13="Yes",R13&gt;0),D13-P13,P13+Q13*R13)</f>
        <v>1</v>
      </c>
      <c r="V13" s="5">
        <f>'Power Calculator'!P13</f>
        <v>2</v>
      </c>
      <c r="W13" s="5">
        <f>'Power Calculator'!Q13</f>
        <v>3</v>
      </c>
      <c r="X13" s="5">
        <f>'Power Calculator'!O13</f>
        <v>0</v>
      </c>
      <c r="Y13" s="5" t="str">
        <f>'Power Calculator'!R13</f>
        <v>Yes</v>
      </c>
      <c r="Z13" s="22">
        <f>IF(AND(Y13="Yes",X13&gt;0),(D13-V13-W13*X13),V13)</f>
        <v>2</v>
      </c>
      <c r="AA13" s="22">
        <f>IF(AND(Y13="Yes",X13&gt;0),D13-V13,V13+W13*X13)</f>
        <v>2</v>
      </c>
      <c r="AB13" s="22">
        <f>MAX(N13,T13,Z13)</f>
        <v>2</v>
      </c>
      <c r="AC13" s="22">
        <f>MAX(O13,U13,AA13)-IF(MIN(N13,IF(R13,T13,1000),IF(X13,Z13,1000))&lt;1,1,MIN(N13,IF(R13,T13,1000),IF(X13,Z13,1000)))</f>
        <v>4</v>
      </c>
      <c r="AD13" s="22">
        <f>IF(K13=0.5,L13,0)+IF(Q13=0.5,R13,0)+IF(W13=0.5,X13,0)</f>
        <v>0</v>
      </c>
      <c r="AE13" s="22">
        <f t="shared" ref="AE13" si="0">IF(K13=1,L13,0)+IF(Q13=1,R13,0)+IF(W13=1,X13,0)</f>
        <v>0</v>
      </c>
      <c r="AF13" s="22">
        <f>IF(K13=1.5,L13,0)+IF(Q13=1.5,R13,0)+IF(W13=1.5,X13,0)</f>
        <v>0</v>
      </c>
      <c r="AG13" s="22">
        <f xml:space="preserve"> IF(K13=2,L13,0)+IF(Q13=2,R13,0)+IF(W13=2,X13,0)</f>
        <v>2</v>
      </c>
      <c r="AH13" s="22">
        <f>I13+ IF(K13=2,L13,0)+IF(Q13=2,R13,0)+IF(W13=2,X13,0)</f>
        <v>9</v>
      </c>
      <c r="AI13" s="22">
        <f>IF(K13=2.5,L13,0)+IF(Q13=2.5,R13,0)+IF(W13=2.5,X13,0)</f>
        <v>0</v>
      </c>
      <c r="AJ13" s="22">
        <f>IF(K13=3,L13,0)+IF(Q13=3,R13,0)+IF(W13=3,X13,0)</f>
        <v>0</v>
      </c>
      <c r="AK13" s="22">
        <f>IF(K13=3.5,L13,0)+IF(Q13=3.5,R13,0)+IF(W13=3.5,X13,0)</f>
        <v>0</v>
      </c>
      <c r="AL13" s="22">
        <f t="shared" ref="AL13" si="1">IF(K13=4,L13,0)+IF(Q13=4,R13,0)+IF(W13=4,X13,0)</f>
        <v>0</v>
      </c>
      <c r="AM13" s="22">
        <f>IF(K13=4.5,L13,0)+IF(Q13=4.5,R13,0)+IF(W13=4.5,X13,0)</f>
        <v>0</v>
      </c>
      <c r="AN13" s="22">
        <f t="shared" ref="AN13" si="2">IF(K13=5,L13,0)+IF(Q13=5,R13,0)+IF(W13=5,X13,0)</f>
        <v>0</v>
      </c>
      <c r="AO13" s="22">
        <f>MIN(IF(AE13&gt;0,1,5),IF(AG13&gt;0,2,5),IF(AL13&gt;0,4,5),IF(AN13&gt;0,5,5))</f>
        <v>2</v>
      </c>
      <c r="AP13" s="22">
        <f>(F13="Yes")+1+IF(K13&gt;0,1,0)+IF(R13&gt;0,1,0)+IF(W13&gt;0,1,0)</f>
        <v>3</v>
      </c>
      <c r="AQ13" s="27">
        <f t="shared" ref="AQ13:AQ26" si="3">Coef_BB1+Coef_BB2*C13/(60*B13)+Coef_BB3*(F13="Yes")*C13/(60*B13)+Coef_BB4*AH13*C13/(60*B13)+Coef_BB5*AE13*C13/(60*B13)+Coef_BB6/(60*B13)+Coef_BB7*(SUM(AD13,AE13,AF13,AG13,AI13,AJ13,AK13,AL13,AM13,AN13))/(60*B13)+Coef_BB8*AL13*C13/(60*B13)+Coef_BB9*C13*AN13/(60*B13)+Coef_BB10*C13*AP13/(60*B13)+Coef_BB11*C13*AD13/(60*B13)+BBCell15*C13*AF13/(60*B13)+bbcELL25*C13*AI13/(60*B13)+BBCell3*C13*AJ13/(60*B13)+BBCell45*C13*AM13/(60*B13)</f>
        <v>2.3397182840401327E-2</v>
      </c>
      <c r="AR13" s="19">
        <v>1.36047246044799E-3</v>
      </c>
      <c r="AS13" s="19">
        <v>2.07660877015537E-2</v>
      </c>
      <c r="AT13" s="19">
        <v>1.6501043189973901E-2</v>
      </c>
      <c r="AU13" s="19">
        <f>0.00491806978816048*0.95</f>
        <v>4.6721662987524561E-3</v>
      </c>
      <c r="AV13" s="19">
        <f t="shared" ref="AV13:AV26" si="4">AVERAGE(Coef_BB4,Coef_BB5)</f>
        <v>3.0561929309582628E-3</v>
      </c>
      <c r="AW13" s="19">
        <v>1.44021956316407E-3</v>
      </c>
      <c r="AX13" s="19">
        <f t="shared" ref="AX13:AX26" si="5">AVERAGE(Coef_BB4,BBCell3)</f>
        <v>6.0783322292533928E-3</v>
      </c>
      <c r="AY13" s="19">
        <f t="shared" ref="AY13:AY26" si="6">AVERAGE(Coef_BB4,Coef_BB8)</f>
        <v>7.4844981597543287E-3</v>
      </c>
      <c r="AZ13" s="19">
        <v>8.23060568309779E-2</v>
      </c>
      <c r="BA13" s="19">
        <v>2.5933735167583401E-2</v>
      </c>
      <c r="BB13" s="19">
        <f t="shared" ref="BB13:BB26" si="7">AVERAGE(Coef_BB9,Coef_BB8)</f>
        <v>1.112469759262385E-2</v>
      </c>
      <c r="BC13" s="19">
        <f t="shared" ref="BC13:BC26" si="8">AVERAGE(AY13,Coef_BB8)</f>
        <v>8.8906640902552646E-3</v>
      </c>
      <c r="BD13" s="19">
        <v>1.02968300207562E-2</v>
      </c>
      <c r="BE13" s="19">
        <v>1.19525651644915E-2</v>
      </c>
      <c r="BF13" s="19">
        <v>8.1455889827933003E-3</v>
      </c>
      <c r="BG13" s="19">
        <v>1.1091997343108E-3</v>
      </c>
      <c r="BH13" s="7"/>
      <c r="BI13" s="13">
        <f>IF(B13&gt;0,AQ13*1200,"")</f>
        <v>28.076619408481594</v>
      </c>
      <c r="BJ13" s="7"/>
    </row>
    <row r="14" spans="1:107" x14ac:dyDescent="0.25">
      <c r="A14" s="7"/>
      <c r="B14" s="5">
        <f>'Power Calculator'!B14</f>
        <v>10</v>
      </c>
      <c r="C14" s="5">
        <f>'Power Calculator'!D14</f>
        <v>30</v>
      </c>
      <c r="D14" s="5">
        <f>'Power Calculator'!E14</f>
        <v>50</v>
      </c>
      <c r="E14" s="22"/>
      <c r="F14" s="5" t="str">
        <f>'Power Calculator'!F14</f>
        <v>No</v>
      </c>
      <c r="G14" s="22">
        <v>2</v>
      </c>
      <c r="H14" s="22">
        <v>2</v>
      </c>
      <c r="I14" s="22">
        <f t="shared" ref="I14:I26" si="9">FLOOR(MAX(7,AB14/2+1),1)</f>
        <v>7</v>
      </c>
      <c r="J14" s="5">
        <f>'Power Calculator'!H14</f>
        <v>2</v>
      </c>
      <c r="K14" s="5">
        <f>'Power Calculator'!I14</f>
        <v>2</v>
      </c>
      <c r="L14" s="5">
        <f>'Power Calculator'!G14</f>
        <v>2</v>
      </c>
      <c r="M14" s="5" t="str">
        <f>'Power Calculator'!J14</f>
        <v>No</v>
      </c>
      <c r="N14" s="22">
        <f t="shared" ref="N14:N26" si="10">IF(M14="Yes",IF((D14-J14-K14*L14)&gt;2,D14-J14-K14*L14,2),J14)</f>
        <v>2</v>
      </c>
      <c r="O14" s="22">
        <f t="shared" ref="O14:O26" si="11">IF(M14="Yes",D14,J14+K14*L14)</f>
        <v>6</v>
      </c>
      <c r="P14" s="5">
        <f>'Power Calculator'!L14</f>
        <v>1</v>
      </c>
      <c r="Q14" s="5">
        <f>'Power Calculator'!M14</f>
        <v>1</v>
      </c>
      <c r="R14" s="5">
        <f>'Power Calculator'!K14</f>
        <v>0</v>
      </c>
      <c r="S14" s="5" t="str">
        <f>'Power Calculator'!N14</f>
        <v>No</v>
      </c>
      <c r="T14" s="22">
        <f t="shared" ref="T14:T26" si="12">IF(AND(S14="Yes",R14&gt;0),(D14-P14-Q14*R14),P14)</f>
        <v>1</v>
      </c>
      <c r="U14" s="22">
        <f t="shared" ref="U14:U26" si="13">IF(AND(S14="Yes",R14&gt;0),D14-P14,P14+Q14*R14)</f>
        <v>1</v>
      </c>
      <c r="V14" s="5">
        <f>'Power Calculator'!P14</f>
        <v>2</v>
      </c>
      <c r="W14" s="5">
        <f>'Power Calculator'!Q14</f>
        <v>2</v>
      </c>
      <c r="X14" s="5">
        <f>'Power Calculator'!O14</f>
        <v>0</v>
      </c>
      <c r="Y14" s="5" t="str">
        <f>'Power Calculator'!R14</f>
        <v>Yes</v>
      </c>
      <c r="Z14" s="22">
        <f t="shared" ref="Z14:Z26" si="14">IF(AND(Y14="Yes",X14&gt;0),(D14-V14-W14*X14),V14)</f>
        <v>2</v>
      </c>
      <c r="AA14" s="22">
        <f t="shared" ref="AA14:AA26" si="15">IF(AND(Y14="Yes",X14&gt;0),D14-V14,V14+W14*X14)</f>
        <v>2</v>
      </c>
      <c r="AB14" s="22">
        <f t="shared" ref="AB14:AB26" si="16">MAX(N14,T14,Z14)</f>
        <v>2</v>
      </c>
      <c r="AC14" s="22">
        <f t="shared" ref="AC14:AC26" si="17">MAX(O14,U14,AA14)-IF(MIN(N14,IF(R14,T14,1000),IF(X14,Z14,1000))&lt;1,1,MIN(N14,IF(R14,T14,1000),IF(X14,Z14,1000)))</f>
        <v>4</v>
      </c>
      <c r="AD14" s="22">
        <f t="shared" ref="AD14:AD26" si="18">IF(K14=0.5,L14,0)+IF(Q14=0.5,R14,0)+IF(W14=0.5,X14,0)</f>
        <v>0</v>
      </c>
      <c r="AE14" s="22">
        <f t="shared" ref="AE14:AE26" si="19">IF(K14=1,L14,0)+IF(Q14=1,R14,0)+IF(W14=1,X14,0)</f>
        <v>0</v>
      </c>
      <c r="AF14" s="22">
        <f t="shared" ref="AF14:AF26" si="20">IF(K14=1.5,L14,0)+IF(Q14=1.5,R14,0)+IF(W14=1.5,X14,0)</f>
        <v>0</v>
      </c>
      <c r="AG14" s="22">
        <f xml:space="preserve"> IF(K14=2,L14,0)+IF(Q14=2,R14,0)+IF(W14=2,X14,0)</f>
        <v>2</v>
      </c>
      <c r="AH14" s="22">
        <f>I14+ IF(K14=2,L14,0)+IF(Q14=2,R14,0)+IF(W14=2,X14,0)</f>
        <v>9</v>
      </c>
      <c r="AI14" s="22">
        <f t="shared" ref="AI14:AI26" si="21">IF(K14=2.5,L14,0)+IF(Q14=2.5,R14,0)+IF(W14=2.5,X14,0)</f>
        <v>0</v>
      </c>
      <c r="AJ14" s="22">
        <f t="shared" ref="AJ14:AJ26" si="22">IF(K14=3,L14,0)+IF(Q14=3,R14,0)+IF(W14=3,X14,0)</f>
        <v>0</v>
      </c>
      <c r="AK14" s="22">
        <f t="shared" ref="AK14:AK26" si="23">IF(K14=3.5,L14,0)+IF(Q14=3.5,R14,0)+IF(W14=3.5,X14,0)</f>
        <v>0</v>
      </c>
      <c r="AL14" s="22">
        <f t="shared" ref="AL14:AL26" si="24">IF(K14=4,L14,0)+IF(Q14=4,R14,0)+IF(W14=4,X14,0)</f>
        <v>0</v>
      </c>
      <c r="AM14" s="22">
        <f t="shared" ref="AM14:AM26" si="25">IF(K14=4.5,L14,0)+IF(Q14=4.5,R14,0)+IF(W14=4.5,X14,0)</f>
        <v>0</v>
      </c>
      <c r="AN14" s="22">
        <f t="shared" ref="AN14:AN26" si="26">IF(K14=5,L14,0)+IF(Q14=5,R14,0)+IF(W14=5,X14,0)</f>
        <v>0</v>
      </c>
      <c r="AO14" s="22">
        <f t="shared" ref="AO14:AO26" si="27">MIN(IF(AE14&gt;0,1,5),IF(AG14&gt;0,2,5),IF(AL14&gt;0,4,5),IF(AN14&gt;0,5,5))</f>
        <v>2</v>
      </c>
      <c r="AP14" s="22">
        <f t="shared" ref="AP14:AP26" si="28">(F14="Yes")+1+IF(K14&gt;0,1,0)+IF(R14&gt;0,1,0)+IF(W14&gt;0,1,0)</f>
        <v>3</v>
      </c>
      <c r="AQ14" s="27">
        <f t="shared" si="3"/>
        <v>5.946712572660183E-3</v>
      </c>
      <c r="AR14" s="19">
        <v>1.36047246044799E-3</v>
      </c>
      <c r="AS14" s="19">
        <v>2.07660877015537E-2</v>
      </c>
      <c r="AT14" s="19">
        <v>1.6501043189973901E-2</v>
      </c>
      <c r="AU14" s="19">
        <f t="shared" ref="AU14:AU26" si="29">0.00491806978816048*0.95</f>
        <v>4.6721662987524561E-3</v>
      </c>
      <c r="AV14" s="19">
        <f t="shared" si="4"/>
        <v>3.0561929309582628E-3</v>
      </c>
      <c r="AW14" s="19">
        <v>1.00144021956316</v>
      </c>
      <c r="AX14" s="19">
        <f t="shared" si="5"/>
        <v>6.0783322292533928E-3</v>
      </c>
      <c r="AY14" s="19">
        <f t="shared" si="6"/>
        <v>7.4844981597543287E-3</v>
      </c>
      <c r="AZ14" s="19">
        <v>8.23060568309779E-2</v>
      </c>
      <c r="BA14" s="19">
        <v>2.5933735167583401E-2</v>
      </c>
      <c r="BB14" s="19">
        <f t="shared" si="7"/>
        <v>1.112469759262385E-2</v>
      </c>
      <c r="BC14" s="19">
        <f t="shared" si="8"/>
        <v>8.8906640902552646E-3</v>
      </c>
      <c r="BD14" s="19">
        <v>1.02968300207562E-2</v>
      </c>
      <c r="BE14" s="19">
        <v>1.19525651644915E-2</v>
      </c>
      <c r="BF14" s="19">
        <v>8.1455889827933003E-3</v>
      </c>
      <c r="BG14" s="19">
        <v>1.1091997343108E-3</v>
      </c>
      <c r="BH14" s="7"/>
      <c r="BI14" s="13">
        <f t="shared" ref="BI14:BI26" si="30">IF(B14&gt;0,AQ14*1200,"")</f>
        <v>7.1360550871922195</v>
      </c>
      <c r="BJ14" s="7"/>
    </row>
    <row r="15" spans="1:107" x14ac:dyDescent="0.25">
      <c r="A15" s="7"/>
      <c r="B15" s="5">
        <f>'Power Calculator'!B15</f>
        <v>0</v>
      </c>
      <c r="C15" s="5">
        <f>'Power Calculator'!D15</f>
        <v>0</v>
      </c>
      <c r="D15" s="5">
        <f>'Power Calculator'!E15</f>
        <v>0</v>
      </c>
      <c r="E15" s="22"/>
      <c r="F15" s="5">
        <f>'Power Calculator'!F15</f>
        <v>0</v>
      </c>
      <c r="G15" s="22">
        <v>2</v>
      </c>
      <c r="H15" s="22">
        <v>2</v>
      </c>
      <c r="I15" s="22">
        <f t="shared" si="9"/>
        <v>7</v>
      </c>
      <c r="J15" s="5">
        <f>'Power Calculator'!H15</f>
        <v>0</v>
      </c>
      <c r="K15" s="5">
        <f>'Power Calculator'!I15</f>
        <v>0</v>
      </c>
      <c r="L15" s="5">
        <f>'Power Calculator'!G15</f>
        <v>0</v>
      </c>
      <c r="M15" s="5">
        <f>'Power Calculator'!J15</f>
        <v>0</v>
      </c>
      <c r="N15" s="22">
        <f t="shared" si="10"/>
        <v>0</v>
      </c>
      <c r="O15" s="22">
        <f t="shared" si="11"/>
        <v>0</v>
      </c>
      <c r="P15" s="5">
        <f>'Power Calculator'!L15</f>
        <v>0</v>
      </c>
      <c r="Q15" s="5">
        <f>'Power Calculator'!M15</f>
        <v>0</v>
      </c>
      <c r="R15" s="5">
        <f>'Power Calculator'!K15</f>
        <v>0</v>
      </c>
      <c r="S15" s="5">
        <f>'Power Calculator'!N15</f>
        <v>0</v>
      </c>
      <c r="T15" s="22">
        <f t="shared" si="12"/>
        <v>0</v>
      </c>
      <c r="U15" s="22">
        <f t="shared" si="13"/>
        <v>0</v>
      </c>
      <c r="V15" s="5">
        <f>'Power Calculator'!P15</f>
        <v>0</v>
      </c>
      <c r="W15" s="5">
        <f>'Power Calculator'!Q15</f>
        <v>0</v>
      </c>
      <c r="X15" s="5">
        <f>'Power Calculator'!O15</f>
        <v>0</v>
      </c>
      <c r="Y15" s="5">
        <f>'Power Calculator'!R15</f>
        <v>0</v>
      </c>
      <c r="Z15" s="22">
        <f t="shared" si="14"/>
        <v>0</v>
      </c>
      <c r="AA15" s="22">
        <f t="shared" si="15"/>
        <v>0</v>
      </c>
      <c r="AB15" s="22">
        <f t="shared" si="16"/>
        <v>0</v>
      </c>
      <c r="AC15" s="22">
        <f t="shared" si="17"/>
        <v>-1</v>
      </c>
      <c r="AD15" s="22">
        <f t="shared" si="18"/>
        <v>0</v>
      </c>
      <c r="AE15" s="22">
        <f t="shared" si="19"/>
        <v>0</v>
      </c>
      <c r="AF15" s="22">
        <f t="shared" si="20"/>
        <v>0</v>
      </c>
      <c r="AG15" s="22">
        <f t="shared" ref="AG15:AG26" si="31" xml:space="preserve"> IF(K15=2,L15,0)+IF(Q15=2,R15,0)+IF(W15=2,X15,0)</f>
        <v>0</v>
      </c>
      <c r="AH15" s="22">
        <f t="shared" ref="AH15:AH26" si="32">I15+ IF(K15=2,L15,0)+IF(Q15=2,R15,0)+IF(W15=2,X15,0)</f>
        <v>7</v>
      </c>
      <c r="AI15" s="22">
        <f t="shared" si="21"/>
        <v>0</v>
      </c>
      <c r="AJ15" s="22">
        <f t="shared" si="22"/>
        <v>0</v>
      </c>
      <c r="AK15" s="22">
        <f t="shared" si="23"/>
        <v>0</v>
      </c>
      <c r="AL15" s="22">
        <f t="shared" si="24"/>
        <v>0</v>
      </c>
      <c r="AM15" s="22">
        <f t="shared" si="25"/>
        <v>0</v>
      </c>
      <c r="AN15" s="22">
        <f t="shared" si="26"/>
        <v>0</v>
      </c>
      <c r="AO15" s="22">
        <f t="shared" si="27"/>
        <v>5</v>
      </c>
      <c r="AP15" s="22">
        <f t="shared" si="28"/>
        <v>1</v>
      </c>
      <c r="AQ15" s="27" t="e">
        <f t="shared" si="3"/>
        <v>#DIV/0!</v>
      </c>
      <c r="AR15" s="19">
        <v>1.36047246044799E-3</v>
      </c>
      <c r="AS15" s="19">
        <v>2.07660877015537E-2</v>
      </c>
      <c r="AT15" s="19">
        <v>1.6501043189973901E-2</v>
      </c>
      <c r="AU15" s="19">
        <f t="shared" si="29"/>
        <v>4.6721662987524561E-3</v>
      </c>
      <c r="AV15" s="19">
        <f t="shared" si="4"/>
        <v>3.0561929309582628E-3</v>
      </c>
      <c r="AW15" s="19">
        <v>2.0014402195631602</v>
      </c>
      <c r="AX15" s="19">
        <f t="shared" si="5"/>
        <v>6.0783322292533928E-3</v>
      </c>
      <c r="AY15" s="19">
        <f t="shared" si="6"/>
        <v>7.4844981597543287E-3</v>
      </c>
      <c r="AZ15" s="19">
        <v>8.23060568309779E-2</v>
      </c>
      <c r="BA15" s="19">
        <v>2.5933735167583401E-2</v>
      </c>
      <c r="BB15" s="19">
        <f t="shared" si="7"/>
        <v>1.112469759262385E-2</v>
      </c>
      <c r="BC15" s="19">
        <f t="shared" si="8"/>
        <v>8.8906640902552646E-3</v>
      </c>
      <c r="BD15" s="19">
        <v>1.02968300207562E-2</v>
      </c>
      <c r="BE15" s="19">
        <v>1.19525651644915E-2</v>
      </c>
      <c r="BF15" s="19">
        <v>8.1455889827933003E-3</v>
      </c>
      <c r="BG15" s="19">
        <v>1.1091997343108E-3</v>
      </c>
      <c r="BH15" s="7"/>
      <c r="BI15" s="13" t="str">
        <f t="shared" si="30"/>
        <v/>
      </c>
      <c r="BJ15" s="7"/>
    </row>
    <row r="16" spans="1:107" x14ac:dyDescent="0.25">
      <c r="A16" s="7"/>
      <c r="B16" s="5">
        <f>'Power Calculator'!B16</f>
        <v>0</v>
      </c>
      <c r="C16" s="5">
        <f>'Power Calculator'!D16</f>
        <v>0</v>
      </c>
      <c r="D16" s="5">
        <f>'Power Calculator'!E16</f>
        <v>0</v>
      </c>
      <c r="E16" s="22"/>
      <c r="F16" s="5">
        <f>'Power Calculator'!F16</f>
        <v>0</v>
      </c>
      <c r="G16" s="22">
        <v>2</v>
      </c>
      <c r="H16" s="22">
        <v>2</v>
      </c>
      <c r="I16" s="22">
        <f t="shared" si="9"/>
        <v>7</v>
      </c>
      <c r="J16" s="5">
        <f>'Power Calculator'!H16</f>
        <v>0</v>
      </c>
      <c r="K16" s="5">
        <f>'Power Calculator'!I16</f>
        <v>0</v>
      </c>
      <c r="L16" s="5">
        <f>'Power Calculator'!G16</f>
        <v>0</v>
      </c>
      <c r="M16" s="5">
        <f>'Power Calculator'!J16</f>
        <v>0</v>
      </c>
      <c r="N16" s="22">
        <f t="shared" si="10"/>
        <v>0</v>
      </c>
      <c r="O16" s="22">
        <f t="shared" si="11"/>
        <v>0</v>
      </c>
      <c r="P16" s="5">
        <f>'Power Calculator'!L16</f>
        <v>0</v>
      </c>
      <c r="Q16" s="5">
        <f>'Power Calculator'!M16</f>
        <v>0</v>
      </c>
      <c r="R16" s="5">
        <f>'Power Calculator'!K16</f>
        <v>0</v>
      </c>
      <c r="S16" s="5">
        <f>'Power Calculator'!N16</f>
        <v>0</v>
      </c>
      <c r="T16" s="22">
        <f t="shared" si="12"/>
        <v>0</v>
      </c>
      <c r="U16" s="22">
        <f t="shared" si="13"/>
        <v>0</v>
      </c>
      <c r="V16" s="5">
        <f>'Power Calculator'!P16</f>
        <v>0</v>
      </c>
      <c r="W16" s="5">
        <f>'Power Calculator'!Q16</f>
        <v>0</v>
      </c>
      <c r="X16" s="5">
        <f>'Power Calculator'!O16</f>
        <v>0</v>
      </c>
      <c r="Y16" s="5">
        <f>'Power Calculator'!R16</f>
        <v>0</v>
      </c>
      <c r="Z16" s="22">
        <f t="shared" si="14"/>
        <v>0</v>
      </c>
      <c r="AA16" s="22">
        <f t="shared" si="15"/>
        <v>0</v>
      </c>
      <c r="AB16" s="22">
        <f t="shared" si="16"/>
        <v>0</v>
      </c>
      <c r="AC16" s="22">
        <f t="shared" si="17"/>
        <v>-1</v>
      </c>
      <c r="AD16" s="22">
        <f t="shared" si="18"/>
        <v>0</v>
      </c>
      <c r="AE16" s="22">
        <f t="shared" si="19"/>
        <v>0</v>
      </c>
      <c r="AF16" s="22">
        <f t="shared" si="20"/>
        <v>0</v>
      </c>
      <c r="AG16" s="22">
        <f t="shared" si="31"/>
        <v>0</v>
      </c>
      <c r="AH16" s="22">
        <f t="shared" si="32"/>
        <v>7</v>
      </c>
      <c r="AI16" s="22">
        <f t="shared" si="21"/>
        <v>0</v>
      </c>
      <c r="AJ16" s="22">
        <f t="shared" si="22"/>
        <v>0</v>
      </c>
      <c r="AK16" s="22">
        <f t="shared" si="23"/>
        <v>0</v>
      </c>
      <c r="AL16" s="22">
        <f t="shared" si="24"/>
        <v>0</v>
      </c>
      <c r="AM16" s="22">
        <f t="shared" si="25"/>
        <v>0</v>
      </c>
      <c r="AN16" s="22">
        <f t="shared" si="26"/>
        <v>0</v>
      </c>
      <c r="AO16" s="22">
        <f t="shared" si="27"/>
        <v>5</v>
      </c>
      <c r="AP16" s="22">
        <f t="shared" si="28"/>
        <v>1</v>
      </c>
      <c r="AQ16" s="27" t="e">
        <f t="shared" si="3"/>
        <v>#DIV/0!</v>
      </c>
      <c r="AR16" s="19">
        <v>1.36047246044799E-3</v>
      </c>
      <c r="AS16" s="19">
        <v>2.07660877015537E-2</v>
      </c>
      <c r="AT16" s="19">
        <v>1.6501043189973901E-2</v>
      </c>
      <c r="AU16" s="19">
        <f t="shared" si="29"/>
        <v>4.6721662987524561E-3</v>
      </c>
      <c r="AV16" s="19">
        <f t="shared" si="4"/>
        <v>3.0561929309582628E-3</v>
      </c>
      <c r="AW16" s="19">
        <v>3.0014402195631602</v>
      </c>
      <c r="AX16" s="19">
        <f t="shared" si="5"/>
        <v>6.0783322292533928E-3</v>
      </c>
      <c r="AY16" s="19">
        <f t="shared" si="6"/>
        <v>7.4844981597543287E-3</v>
      </c>
      <c r="AZ16" s="19">
        <v>8.23060568309779E-2</v>
      </c>
      <c r="BA16" s="19">
        <v>2.5933735167583401E-2</v>
      </c>
      <c r="BB16" s="19">
        <f t="shared" si="7"/>
        <v>1.112469759262385E-2</v>
      </c>
      <c r="BC16" s="19">
        <f t="shared" si="8"/>
        <v>8.8906640902552646E-3</v>
      </c>
      <c r="BD16" s="19">
        <v>1.02968300207562E-2</v>
      </c>
      <c r="BE16" s="19">
        <v>1.19525651644915E-2</v>
      </c>
      <c r="BF16" s="19">
        <v>8.1455889827933003E-3</v>
      </c>
      <c r="BG16" s="19">
        <v>1.1091997343108E-3</v>
      </c>
      <c r="BH16" s="7"/>
      <c r="BI16" s="13" t="str">
        <f t="shared" si="30"/>
        <v/>
      </c>
      <c r="BJ16" s="7"/>
    </row>
    <row r="17" spans="1:72" x14ac:dyDescent="0.25">
      <c r="A17" s="7"/>
      <c r="B17" s="5">
        <f>'Power Calculator'!B17</f>
        <v>0</v>
      </c>
      <c r="C17" s="5">
        <f>'Power Calculator'!D17</f>
        <v>0</v>
      </c>
      <c r="D17" s="5">
        <f>'Power Calculator'!E17</f>
        <v>0</v>
      </c>
      <c r="E17" s="22"/>
      <c r="F17" s="5">
        <f>'Power Calculator'!F17</f>
        <v>0</v>
      </c>
      <c r="G17" s="22">
        <v>2</v>
      </c>
      <c r="H17" s="22">
        <v>2</v>
      </c>
      <c r="I17" s="22">
        <f t="shared" si="9"/>
        <v>7</v>
      </c>
      <c r="J17" s="5">
        <f>'Power Calculator'!H17</f>
        <v>0</v>
      </c>
      <c r="K17" s="5">
        <f>'Power Calculator'!I17</f>
        <v>0</v>
      </c>
      <c r="L17" s="5">
        <f>'Power Calculator'!G17</f>
        <v>0</v>
      </c>
      <c r="M17" s="5">
        <f>'Power Calculator'!J17</f>
        <v>0</v>
      </c>
      <c r="N17" s="22">
        <f t="shared" si="10"/>
        <v>0</v>
      </c>
      <c r="O17" s="22">
        <f t="shared" si="11"/>
        <v>0</v>
      </c>
      <c r="P17" s="5">
        <f>'Power Calculator'!L17</f>
        <v>0</v>
      </c>
      <c r="Q17" s="5">
        <f>'Power Calculator'!M17</f>
        <v>0</v>
      </c>
      <c r="R17" s="5">
        <f>'Power Calculator'!K17</f>
        <v>0</v>
      </c>
      <c r="S17" s="5">
        <f>'Power Calculator'!N17</f>
        <v>0</v>
      </c>
      <c r="T17" s="22">
        <f t="shared" si="12"/>
        <v>0</v>
      </c>
      <c r="U17" s="22">
        <f t="shared" si="13"/>
        <v>0</v>
      </c>
      <c r="V17" s="5">
        <f>'Power Calculator'!P17</f>
        <v>0</v>
      </c>
      <c r="W17" s="5">
        <f>'Power Calculator'!Q17</f>
        <v>0</v>
      </c>
      <c r="X17" s="5">
        <f>'Power Calculator'!O17</f>
        <v>0</v>
      </c>
      <c r="Y17" s="5">
        <f>'Power Calculator'!R17</f>
        <v>0</v>
      </c>
      <c r="Z17" s="22">
        <f t="shared" si="14"/>
        <v>0</v>
      </c>
      <c r="AA17" s="22">
        <f t="shared" si="15"/>
        <v>0</v>
      </c>
      <c r="AB17" s="22">
        <f t="shared" si="16"/>
        <v>0</v>
      </c>
      <c r="AC17" s="22">
        <f t="shared" si="17"/>
        <v>-1</v>
      </c>
      <c r="AD17" s="22">
        <f t="shared" si="18"/>
        <v>0</v>
      </c>
      <c r="AE17" s="22">
        <f t="shared" si="19"/>
        <v>0</v>
      </c>
      <c r="AF17" s="22">
        <f t="shared" si="20"/>
        <v>0</v>
      </c>
      <c r="AG17" s="22">
        <f t="shared" si="31"/>
        <v>0</v>
      </c>
      <c r="AH17" s="22">
        <f t="shared" si="32"/>
        <v>7</v>
      </c>
      <c r="AI17" s="22">
        <f t="shared" si="21"/>
        <v>0</v>
      </c>
      <c r="AJ17" s="22">
        <f t="shared" si="22"/>
        <v>0</v>
      </c>
      <c r="AK17" s="22">
        <f t="shared" si="23"/>
        <v>0</v>
      </c>
      <c r="AL17" s="22">
        <f t="shared" si="24"/>
        <v>0</v>
      </c>
      <c r="AM17" s="22">
        <f t="shared" si="25"/>
        <v>0</v>
      </c>
      <c r="AN17" s="22">
        <f t="shared" si="26"/>
        <v>0</v>
      </c>
      <c r="AO17" s="22">
        <f t="shared" si="27"/>
        <v>5</v>
      </c>
      <c r="AP17" s="22">
        <f t="shared" si="28"/>
        <v>1</v>
      </c>
      <c r="AQ17" s="27" t="e">
        <f t="shared" si="3"/>
        <v>#DIV/0!</v>
      </c>
      <c r="AR17" s="19">
        <v>1.36047246044799E-3</v>
      </c>
      <c r="AS17" s="19">
        <v>2.07660877015537E-2</v>
      </c>
      <c r="AT17" s="19">
        <v>1.6501043189973901E-2</v>
      </c>
      <c r="AU17" s="19">
        <f t="shared" si="29"/>
        <v>4.6721662987524561E-3</v>
      </c>
      <c r="AV17" s="19">
        <f t="shared" si="4"/>
        <v>3.0561929309582628E-3</v>
      </c>
      <c r="AW17" s="19">
        <v>4.0014402195631602</v>
      </c>
      <c r="AX17" s="19">
        <f t="shared" si="5"/>
        <v>6.0783322292533928E-3</v>
      </c>
      <c r="AY17" s="19">
        <f t="shared" si="6"/>
        <v>7.4844981597543287E-3</v>
      </c>
      <c r="AZ17" s="19">
        <v>8.23060568309779E-2</v>
      </c>
      <c r="BA17" s="19">
        <v>2.5933735167583401E-2</v>
      </c>
      <c r="BB17" s="19">
        <f t="shared" si="7"/>
        <v>1.112469759262385E-2</v>
      </c>
      <c r="BC17" s="19">
        <f t="shared" si="8"/>
        <v>8.8906640902552646E-3</v>
      </c>
      <c r="BD17" s="19">
        <v>1.02968300207562E-2</v>
      </c>
      <c r="BE17" s="19">
        <v>1.19525651644915E-2</v>
      </c>
      <c r="BF17" s="19">
        <v>8.1455889827933003E-3</v>
      </c>
      <c r="BG17" s="19">
        <v>1.1091997343108E-3</v>
      </c>
      <c r="BH17" s="7"/>
      <c r="BI17" s="13" t="str">
        <f t="shared" si="30"/>
        <v/>
      </c>
      <c r="BJ17" s="7"/>
      <c r="BT17" s="1"/>
    </row>
    <row r="18" spans="1:72" x14ac:dyDescent="0.25">
      <c r="A18" s="7"/>
      <c r="B18" s="5" t="e">
        <f>'Power Calculator'!#REF!</f>
        <v>#REF!</v>
      </c>
      <c r="C18" s="5" t="e">
        <f>'Power Calculator'!#REF!</f>
        <v>#REF!</v>
      </c>
      <c r="D18" s="5" t="e">
        <f>'Power Calculator'!#REF!</f>
        <v>#REF!</v>
      </c>
      <c r="E18" s="22"/>
      <c r="F18" s="5" t="e">
        <f>'Power Calculator'!#REF!</f>
        <v>#REF!</v>
      </c>
      <c r="G18" s="22">
        <v>2</v>
      </c>
      <c r="H18" s="22">
        <v>2</v>
      </c>
      <c r="I18" s="22" t="e">
        <f t="shared" si="9"/>
        <v>#REF!</v>
      </c>
      <c r="J18" s="5" t="e">
        <f>'Power Calculator'!#REF!</f>
        <v>#REF!</v>
      </c>
      <c r="K18" s="5" t="e">
        <f>'Power Calculator'!#REF!</f>
        <v>#REF!</v>
      </c>
      <c r="L18" s="5" t="e">
        <f>'Power Calculator'!#REF!</f>
        <v>#REF!</v>
      </c>
      <c r="M18" s="5" t="e">
        <f>'Power Calculator'!#REF!</f>
        <v>#REF!</v>
      </c>
      <c r="N18" s="22" t="e">
        <f t="shared" si="10"/>
        <v>#REF!</v>
      </c>
      <c r="O18" s="22" t="e">
        <f t="shared" si="11"/>
        <v>#REF!</v>
      </c>
      <c r="P18" s="5" t="e">
        <f>'Power Calculator'!#REF!</f>
        <v>#REF!</v>
      </c>
      <c r="Q18" s="5" t="e">
        <f>'Power Calculator'!#REF!</f>
        <v>#REF!</v>
      </c>
      <c r="R18" s="5" t="e">
        <f>'Power Calculator'!#REF!</f>
        <v>#REF!</v>
      </c>
      <c r="S18" s="5" t="e">
        <f>'Power Calculator'!#REF!</f>
        <v>#REF!</v>
      </c>
      <c r="T18" s="22" t="e">
        <f t="shared" si="12"/>
        <v>#REF!</v>
      </c>
      <c r="U18" s="22" t="e">
        <f t="shared" si="13"/>
        <v>#REF!</v>
      </c>
      <c r="V18" s="5" t="e">
        <f>'Power Calculator'!#REF!</f>
        <v>#REF!</v>
      </c>
      <c r="W18" s="5" t="e">
        <f>'Power Calculator'!#REF!</f>
        <v>#REF!</v>
      </c>
      <c r="X18" s="5" t="e">
        <f>'Power Calculator'!#REF!</f>
        <v>#REF!</v>
      </c>
      <c r="Y18" s="5" t="e">
        <f>'Power Calculator'!#REF!</f>
        <v>#REF!</v>
      </c>
      <c r="Z18" s="22" t="e">
        <f t="shared" si="14"/>
        <v>#REF!</v>
      </c>
      <c r="AA18" s="22" t="e">
        <f t="shared" si="15"/>
        <v>#REF!</v>
      </c>
      <c r="AB18" s="22" t="e">
        <f t="shared" si="16"/>
        <v>#REF!</v>
      </c>
      <c r="AC18" s="22" t="e">
        <f t="shared" si="17"/>
        <v>#REF!</v>
      </c>
      <c r="AD18" s="22" t="e">
        <f t="shared" si="18"/>
        <v>#REF!</v>
      </c>
      <c r="AE18" s="22" t="e">
        <f t="shared" si="19"/>
        <v>#REF!</v>
      </c>
      <c r="AF18" s="22" t="e">
        <f t="shared" si="20"/>
        <v>#REF!</v>
      </c>
      <c r="AG18" s="22" t="e">
        <f t="shared" si="31"/>
        <v>#REF!</v>
      </c>
      <c r="AH18" s="22" t="e">
        <f t="shared" si="32"/>
        <v>#REF!</v>
      </c>
      <c r="AI18" s="22" t="e">
        <f t="shared" si="21"/>
        <v>#REF!</v>
      </c>
      <c r="AJ18" s="22" t="e">
        <f t="shared" si="22"/>
        <v>#REF!</v>
      </c>
      <c r="AK18" s="22" t="e">
        <f t="shared" si="23"/>
        <v>#REF!</v>
      </c>
      <c r="AL18" s="22" t="e">
        <f t="shared" si="24"/>
        <v>#REF!</v>
      </c>
      <c r="AM18" s="22" t="e">
        <f t="shared" si="25"/>
        <v>#REF!</v>
      </c>
      <c r="AN18" s="22" t="e">
        <f t="shared" si="26"/>
        <v>#REF!</v>
      </c>
      <c r="AO18" s="22" t="e">
        <f t="shared" si="27"/>
        <v>#REF!</v>
      </c>
      <c r="AP18" s="22" t="e">
        <f t="shared" si="28"/>
        <v>#REF!</v>
      </c>
      <c r="AQ18" s="27" t="e">
        <f t="shared" si="3"/>
        <v>#REF!</v>
      </c>
      <c r="AR18" s="19">
        <v>1.36047246044799E-3</v>
      </c>
      <c r="AS18" s="19">
        <v>2.07660877015537E-2</v>
      </c>
      <c r="AT18" s="19">
        <v>1.6501043189973901E-2</v>
      </c>
      <c r="AU18" s="19">
        <f t="shared" si="29"/>
        <v>4.6721662987524561E-3</v>
      </c>
      <c r="AV18" s="19">
        <f t="shared" si="4"/>
        <v>3.0561929309582628E-3</v>
      </c>
      <c r="AW18" s="19">
        <v>5.0014402195631602</v>
      </c>
      <c r="AX18" s="19">
        <f t="shared" si="5"/>
        <v>6.0783322292533928E-3</v>
      </c>
      <c r="AY18" s="19">
        <f t="shared" si="6"/>
        <v>7.4844981597543287E-3</v>
      </c>
      <c r="AZ18" s="19">
        <v>8.23060568309779E-2</v>
      </c>
      <c r="BA18" s="19">
        <v>2.5933735167583401E-2</v>
      </c>
      <c r="BB18" s="19">
        <f t="shared" si="7"/>
        <v>1.112469759262385E-2</v>
      </c>
      <c r="BC18" s="19">
        <f t="shared" si="8"/>
        <v>8.8906640902552646E-3</v>
      </c>
      <c r="BD18" s="19">
        <v>1.02968300207562E-2</v>
      </c>
      <c r="BE18" s="19">
        <v>1.19525651644915E-2</v>
      </c>
      <c r="BF18" s="19">
        <v>8.1455889827933003E-3</v>
      </c>
      <c r="BG18" s="19">
        <v>1.1091997343108E-3</v>
      </c>
      <c r="BH18" s="7"/>
      <c r="BI18" s="13" t="e">
        <f t="shared" si="30"/>
        <v>#REF!</v>
      </c>
      <c r="BJ18" s="7"/>
      <c r="BT18" s="1"/>
    </row>
    <row r="19" spans="1:72" x14ac:dyDescent="0.25">
      <c r="A19" s="7"/>
      <c r="B19" s="5" t="e">
        <f>'Power Calculator'!#REF!</f>
        <v>#REF!</v>
      </c>
      <c r="C19" s="5" t="e">
        <f>'Power Calculator'!#REF!</f>
        <v>#REF!</v>
      </c>
      <c r="D19" s="5" t="e">
        <f>'Power Calculator'!#REF!</f>
        <v>#REF!</v>
      </c>
      <c r="E19" s="22"/>
      <c r="F19" s="5" t="e">
        <f>'Power Calculator'!#REF!</f>
        <v>#REF!</v>
      </c>
      <c r="G19" s="22">
        <v>2</v>
      </c>
      <c r="H19" s="22">
        <v>2</v>
      </c>
      <c r="I19" s="22" t="e">
        <f t="shared" si="9"/>
        <v>#REF!</v>
      </c>
      <c r="J19" s="5" t="e">
        <f>'Power Calculator'!#REF!</f>
        <v>#REF!</v>
      </c>
      <c r="K19" s="5" t="e">
        <f>'Power Calculator'!#REF!</f>
        <v>#REF!</v>
      </c>
      <c r="L19" s="5" t="e">
        <f>'Power Calculator'!#REF!</f>
        <v>#REF!</v>
      </c>
      <c r="M19" s="5" t="e">
        <f>'Power Calculator'!#REF!</f>
        <v>#REF!</v>
      </c>
      <c r="N19" s="22" t="e">
        <f t="shared" si="10"/>
        <v>#REF!</v>
      </c>
      <c r="O19" s="22" t="e">
        <f t="shared" si="11"/>
        <v>#REF!</v>
      </c>
      <c r="P19" s="5" t="e">
        <f>'Power Calculator'!#REF!</f>
        <v>#REF!</v>
      </c>
      <c r="Q19" s="5" t="e">
        <f>'Power Calculator'!#REF!</f>
        <v>#REF!</v>
      </c>
      <c r="R19" s="5" t="e">
        <f>'Power Calculator'!#REF!</f>
        <v>#REF!</v>
      </c>
      <c r="S19" s="5" t="e">
        <f>'Power Calculator'!#REF!</f>
        <v>#REF!</v>
      </c>
      <c r="T19" s="22" t="e">
        <f t="shared" si="12"/>
        <v>#REF!</v>
      </c>
      <c r="U19" s="22" t="e">
        <f t="shared" si="13"/>
        <v>#REF!</v>
      </c>
      <c r="V19" s="5" t="e">
        <f>'Power Calculator'!#REF!</f>
        <v>#REF!</v>
      </c>
      <c r="W19" s="5" t="e">
        <f>'Power Calculator'!#REF!</f>
        <v>#REF!</v>
      </c>
      <c r="X19" s="5" t="e">
        <f>'Power Calculator'!#REF!</f>
        <v>#REF!</v>
      </c>
      <c r="Y19" s="5" t="e">
        <f>'Power Calculator'!#REF!</f>
        <v>#REF!</v>
      </c>
      <c r="Z19" s="22" t="e">
        <f t="shared" si="14"/>
        <v>#REF!</v>
      </c>
      <c r="AA19" s="22" t="e">
        <f t="shared" si="15"/>
        <v>#REF!</v>
      </c>
      <c r="AB19" s="22" t="e">
        <f t="shared" si="16"/>
        <v>#REF!</v>
      </c>
      <c r="AC19" s="22" t="e">
        <f t="shared" si="17"/>
        <v>#REF!</v>
      </c>
      <c r="AD19" s="22" t="e">
        <f t="shared" si="18"/>
        <v>#REF!</v>
      </c>
      <c r="AE19" s="22" t="e">
        <f t="shared" si="19"/>
        <v>#REF!</v>
      </c>
      <c r="AF19" s="22" t="e">
        <f t="shared" si="20"/>
        <v>#REF!</v>
      </c>
      <c r="AG19" s="22" t="e">
        <f t="shared" si="31"/>
        <v>#REF!</v>
      </c>
      <c r="AH19" s="22" t="e">
        <f t="shared" si="32"/>
        <v>#REF!</v>
      </c>
      <c r="AI19" s="22" t="e">
        <f t="shared" si="21"/>
        <v>#REF!</v>
      </c>
      <c r="AJ19" s="22" t="e">
        <f t="shared" si="22"/>
        <v>#REF!</v>
      </c>
      <c r="AK19" s="22" t="e">
        <f t="shared" si="23"/>
        <v>#REF!</v>
      </c>
      <c r="AL19" s="22" t="e">
        <f t="shared" si="24"/>
        <v>#REF!</v>
      </c>
      <c r="AM19" s="22" t="e">
        <f t="shared" si="25"/>
        <v>#REF!</v>
      </c>
      <c r="AN19" s="22" t="e">
        <f t="shared" si="26"/>
        <v>#REF!</v>
      </c>
      <c r="AO19" s="22" t="e">
        <f t="shared" si="27"/>
        <v>#REF!</v>
      </c>
      <c r="AP19" s="22" t="e">
        <f t="shared" si="28"/>
        <v>#REF!</v>
      </c>
      <c r="AQ19" s="27" t="e">
        <f t="shared" si="3"/>
        <v>#REF!</v>
      </c>
      <c r="AR19" s="19">
        <v>1.36047246044799E-3</v>
      </c>
      <c r="AS19" s="19">
        <v>2.07660877015537E-2</v>
      </c>
      <c r="AT19" s="19">
        <v>1.6501043189973901E-2</v>
      </c>
      <c r="AU19" s="19">
        <f t="shared" si="29"/>
        <v>4.6721662987524561E-3</v>
      </c>
      <c r="AV19" s="19">
        <f t="shared" si="4"/>
        <v>3.0561929309582628E-3</v>
      </c>
      <c r="AW19" s="19">
        <v>6.0014402195631602</v>
      </c>
      <c r="AX19" s="19">
        <f t="shared" si="5"/>
        <v>6.0783322292533928E-3</v>
      </c>
      <c r="AY19" s="19">
        <f t="shared" si="6"/>
        <v>7.4844981597543287E-3</v>
      </c>
      <c r="AZ19" s="19">
        <v>8.23060568309779E-2</v>
      </c>
      <c r="BA19" s="19">
        <v>2.5933735167583401E-2</v>
      </c>
      <c r="BB19" s="19">
        <f t="shared" si="7"/>
        <v>1.112469759262385E-2</v>
      </c>
      <c r="BC19" s="19">
        <f t="shared" si="8"/>
        <v>8.8906640902552646E-3</v>
      </c>
      <c r="BD19" s="19">
        <v>1.02968300207562E-2</v>
      </c>
      <c r="BE19" s="19">
        <v>1.19525651644915E-2</v>
      </c>
      <c r="BF19" s="19">
        <v>8.1455889827933003E-3</v>
      </c>
      <c r="BG19" s="19">
        <v>1.1091997343108E-3</v>
      </c>
      <c r="BH19" s="7"/>
      <c r="BI19" s="13" t="e">
        <f t="shared" si="30"/>
        <v>#REF!</v>
      </c>
      <c r="BJ19" s="7"/>
      <c r="BT19" s="1"/>
    </row>
    <row r="20" spans="1:72" x14ac:dyDescent="0.25">
      <c r="A20" s="7"/>
      <c r="B20" s="5" t="e">
        <f>'Power Calculator'!#REF!</f>
        <v>#REF!</v>
      </c>
      <c r="C20" s="5" t="e">
        <f>'Power Calculator'!#REF!</f>
        <v>#REF!</v>
      </c>
      <c r="D20" s="5" t="e">
        <f>'Power Calculator'!#REF!</f>
        <v>#REF!</v>
      </c>
      <c r="E20" s="22"/>
      <c r="F20" s="5" t="e">
        <f>'Power Calculator'!#REF!</f>
        <v>#REF!</v>
      </c>
      <c r="G20" s="22">
        <v>2</v>
      </c>
      <c r="H20" s="22">
        <v>2</v>
      </c>
      <c r="I20" s="22" t="e">
        <f t="shared" si="9"/>
        <v>#REF!</v>
      </c>
      <c r="J20" s="5" t="e">
        <f>'Power Calculator'!#REF!</f>
        <v>#REF!</v>
      </c>
      <c r="K20" s="5" t="e">
        <f>'Power Calculator'!#REF!</f>
        <v>#REF!</v>
      </c>
      <c r="L20" s="5" t="e">
        <f>'Power Calculator'!#REF!</f>
        <v>#REF!</v>
      </c>
      <c r="M20" s="5" t="e">
        <f>'Power Calculator'!#REF!</f>
        <v>#REF!</v>
      </c>
      <c r="N20" s="22" t="e">
        <f t="shared" si="10"/>
        <v>#REF!</v>
      </c>
      <c r="O20" s="22" t="e">
        <f t="shared" si="11"/>
        <v>#REF!</v>
      </c>
      <c r="P20" s="5" t="e">
        <f>'Power Calculator'!#REF!</f>
        <v>#REF!</v>
      </c>
      <c r="Q20" s="5" t="e">
        <f>'Power Calculator'!#REF!</f>
        <v>#REF!</v>
      </c>
      <c r="R20" s="5" t="e">
        <f>'Power Calculator'!#REF!</f>
        <v>#REF!</v>
      </c>
      <c r="S20" s="5" t="e">
        <f>'Power Calculator'!#REF!</f>
        <v>#REF!</v>
      </c>
      <c r="T20" s="22" t="e">
        <f t="shared" si="12"/>
        <v>#REF!</v>
      </c>
      <c r="U20" s="22" t="e">
        <f t="shared" si="13"/>
        <v>#REF!</v>
      </c>
      <c r="V20" s="5" t="e">
        <f>'Power Calculator'!#REF!</f>
        <v>#REF!</v>
      </c>
      <c r="W20" s="5" t="e">
        <f>'Power Calculator'!#REF!</f>
        <v>#REF!</v>
      </c>
      <c r="X20" s="5" t="e">
        <f>'Power Calculator'!#REF!</f>
        <v>#REF!</v>
      </c>
      <c r="Y20" s="5" t="e">
        <f>'Power Calculator'!#REF!</f>
        <v>#REF!</v>
      </c>
      <c r="Z20" s="22" t="e">
        <f t="shared" si="14"/>
        <v>#REF!</v>
      </c>
      <c r="AA20" s="22" t="e">
        <f t="shared" si="15"/>
        <v>#REF!</v>
      </c>
      <c r="AB20" s="22" t="e">
        <f t="shared" si="16"/>
        <v>#REF!</v>
      </c>
      <c r="AC20" s="22" t="e">
        <f t="shared" si="17"/>
        <v>#REF!</v>
      </c>
      <c r="AD20" s="22" t="e">
        <f t="shared" si="18"/>
        <v>#REF!</v>
      </c>
      <c r="AE20" s="22" t="e">
        <f t="shared" si="19"/>
        <v>#REF!</v>
      </c>
      <c r="AF20" s="22" t="e">
        <f t="shared" si="20"/>
        <v>#REF!</v>
      </c>
      <c r="AG20" s="22" t="e">
        <f t="shared" si="31"/>
        <v>#REF!</v>
      </c>
      <c r="AH20" s="22" t="e">
        <f t="shared" si="32"/>
        <v>#REF!</v>
      </c>
      <c r="AI20" s="22" t="e">
        <f t="shared" si="21"/>
        <v>#REF!</v>
      </c>
      <c r="AJ20" s="22" t="e">
        <f t="shared" si="22"/>
        <v>#REF!</v>
      </c>
      <c r="AK20" s="22" t="e">
        <f t="shared" si="23"/>
        <v>#REF!</v>
      </c>
      <c r="AL20" s="22" t="e">
        <f t="shared" si="24"/>
        <v>#REF!</v>
      </c>
      <c r="AM20" s="22" t="e">
        <f t="shared" si="25"/>
        <v>#REF!</v>
      </c>
      <c r="AN20" s="22" t="e">
        <f t="shared" si="26"/>
        <v>#REF!</v>
      </c>
      <c r="AO20" s="22" t="e">
        <f t="shared" si="27"/>
        <v>#REF!</v>
      </c>
      <c r="AP20" s="22" t="e">
        <f t="shared" si="28"/>
        <v>#REF!</v>
      </c>
      <c r="AQ20" s="27" t="e">
        <f t="shared" si="3"/>
        <v>#REF!</v>
      </c>
      <c r="AR20" s="19">
        <v>1.36047246044799E-3</v>
      </c>
      <c r="AS20" s="19">
        <v>2.07660877015537E-2</v>
      </c>
      <c r="AT20" s="19">
        <v>1.6501043189973901E-2</v>
      </c>
      <c r="AU20" s="19">
        <f t="shared" si="29"/>
        <v>4.6721662987524561E-3</v>
      </c>
      <c r="AV20" s="19">
        <f t="shared" si="4"/>
        <v>3.0561929309582628E-3</v>
      </c>
      <c r="AW20" s="19">
        <v>7.0014402195631602</v>
      </c>
      <c r="AX20" s="19">
        <f t="shared" si="5"/>
        <v>6.0783322292533928E-3</v>
      </c>
      <c r="AY20" s="19">
        <f t="shared" si="6"/>
        <v>7.4844981597543287E-3</v>
      </c>
      <c r="AZ20" s="19">
        <v>8.23060568309779E-2</v>
      </c>
      <c r="BA20" s="19">
        <v>2.5933735167583401E-2</v>
      </c>
      <c r="BB20" s="19">
        <f t="shared" si="7"/>
        <v>1.112469759262385E-2</v>
      </c>
      <c r="BC20" s="19">
        <f t="shared" si="8"/>
        <v>8.8906640902552646E-3</v>
      </c>
      <c r="BD20" s="19">
        <v>1.02968300207562E-2</v>
      </c>
      <c r="BE20" s="19">
        <v>1.19525651644915E-2</v>
      </c>
      <c r="BF20" s="19">
        <v>8.1455889827933003E-3</v>
      </c>
      <c r="BG20" s="19">
        <v>1.1091997343108E-3</v>
      </c>
      <c r="BH20" s="7"/>
      <c r="BI20" s="13" t="e">
        <f t="shared" si="30"/>
        <v>#REF!</v>
      </c>
      <c r="BJ20" s="7"/>
    </row>
    <row r="21" spans="1:72" x14ac:dyDescent="0.25">
      <c r="A21" s="7"/>
      <c r="B21" s="5" t="e">
        <f>'Power Calculator'!#REF!</f>
        <v>#REF!</v>
      </c>
      <c r="C21" s="5" t="e">
        <f>'Power Calculator'!#REF!</f>
        <v>#REF!</v>
      </c>
      <c r="D21" s="5" t="e">
        <f>'Power Calculator'!#REF!</f>
        <v>#REF!</v>
      </c>
      <c r="E21" s="22"/>
      <c r="F21" s="5" t="e">
        <f>'Power Calculator'!#REF!</f>
        <v>#REF!</v>
      </c>
      <c r="G21" s="22">
        <v>2</v>
      </c>
      <c r="H21" s="22">
        <v>2</v>
      </c>
      <c r="I21" s="22" t="e">
        <f t="shared" si="9"/>
        <v>#REF!</v>
      </c>
      <c r="J21" s="5" t="e">
        <f>'Power Calculator'!#REF!</f>
        <v>#REF!</v>
      </c>
      <c r="K21" s="5" t="e">
        <f>'Power Calculator'!#REF!</f>
        <v>#REF!</v>
      </c>
      <c r="L21" s="5" t="e">
        <f>'Power Calculator'!#REF!</f>
        <v>#REF!</v>
      </c>
      <c r="M21" s="5" t="e">
        <f>'Power Calculator'!#REF!</f>
        <v>#REF!</v>
      </c>
      <c r="N21" s="22" t="e">
        <f t="shared" si="10"/>
        <v>#REF!</v>
      </c>
      <c r="O21" s="22" t="e">
        <f t="shared" si="11"/>
        <v>#REF!</v>
      </c>
      <c r="P21" s="5" t="e">
        <f>'Power Calculator'!#REF!</f>
        <v>#REF!</v>
      </c>
      <c r="Q21" s="5" t="e">
        <f>'Power Calculator'!#REF!</f>
        <v>#REF!</v>
      </c>
      <c r="R21" s="5" t="e">
        <f>'Power Calculator'!#REF!</f>
        <v>#REF!</v>
      </c>
      <c r="S21" s="5" t="e">
        <f>'Power Calculator'!#REF!</f>
        <v>#REF!</v>
      </c>
      <c r="T21" s="22" t="e">
        <f t="shared" si="12"/>
        <v>#REF!</v>
      </c>
      <c r="U21" s="22" t="e">
        <f t="shared" si="13"/>
        <v>#REF!</v>
      </c>
      <c r="V21" s="5" t="e">
        <f>'Power Calculator'!#REF!</f>
        <v>#REF!</v>
      </c>
      <c r="W21" s="5" t="e">
        <f>'Power Calculator'!#REF!</f>
        <v>#REF!</v>
      </c>
      <c r="X21" s="5" t="e">
        <f>'Power Calculator'!#REF!</f>
        <v>#REF!</v>
      </c>
      <c r="Y21" s="5" t="e">
        <f>'Power Calculator'!#REF!</f>
        <v>#REF!</v>
      </c>
      <c r="Z21" s="22" t="e">
        <f t="shared" si="14"/>
        <v>#REF!</v>
      </c>
      <c r="AA21" s="22" t="e">
        <f t="shared" si="15"/>
        <v>#REF!</v>
      </c>
      <c r="AB21" s="22" t="e">
        <f t="shared" si="16"/>
        <v>#REF!</v>
      </c>
      <c r="AC21" s="22" t="e">
        <f t="shared" si="17"/>
        <v>#REF!</v>
      </c>
      <c r="AD21" s="22" t="e">
        <f t="shared" si="18"/>
        <v>#REF!</v>
      </c>
      <c r="AE21" s="22" t="e">
        <f t="shared" si="19"/>
        <v>#REF!</v>
      </c>
      <c r="AF21" s="22" t="e">
        <f t="shared" si="20"/>
        <v>#REF!</v>
      </c>
      <c r="AG21" s="22" t="e">
        <f t="shared" si="31"/>
        <v>#REF!</v>
      </c>
      <c r="AH21" s="22" t="e">
        <f t="shared" si="32"/>
        <v>#REF!</v>
      </c>
      <c r="AI21" s="22" t="e">
        <f t="shared" si="21"/>
        <v>#REF!</v>
      </c>
      <c r="AJ21" s="22" t="e">
        <f t="shared" si="22"/>
        <v>#REF!</v>
      </c>
      <c r="AK21" s="22" t="e">
        <f t="shared" si="23"/>
        <v>#REF!</v>
      </c>
      <c r="AL21" s="22" t="e">
        <f t="shared" si="24"/>
        <v>#REF!</v>
      </c>
      <c r="AM21" s="22" t="e">
        <f t="shared" si="25"/>
        <v>#REF!</v>
      </c>
      <c r="AN21" s="22" t="e">
        <f t="shared" si="26"/>
        <v>#REF!</v>
      </c>
      <c r="AO21" s="22" t="e">
        <f t="shared" si="27"/>
        <v>#REF!</v>
      </c>
      <c r="AP21" s="22" t="e">
        <f t="shared" si="28"/>
        <v>#REF!</v>
      </c>
      <c r="AQ21" s="27" t="e">
        <f t="shared" si="3"/>
        <v>#REF!</v>
      </c>
      <c r="AR21" s="19">
        <v>1.36047246044799E-3</v>
      </c>
      <c r="AS21" s="19">
        <v>2.07660877015537E-2</v>
      </c>
      <c r="AT21" s="19">
        <v>1.6501043189973901E-2</v>
      </c>
      <c r="AU21" s="19">
        <f t="shared" si="29"/>
        <v>4.6721662987524561E-3</v>
      </c>
      <c r="AV21" s="19">
        <f t="shared" si="4"/>
        <v>3.0561929309582628E-3</v>
      </c>
      <c r="AW21" s="19">
        <v>8.0014402195631593</v>
      </c>
      <c r="AX21" s="19">
        <f t="shared" si="5"/>
        <v>6.0783322292533928E-3</v>
      </c>
      <c r="AY21" s="19">
        <f t="shared" si="6"/>
        <v>7.4844981597543287E-3</v>
      </c>
      <c r="AZ21" s="19">
        <v>8.23060568309779E-2</v>
      </c>
      <c r="BA21" s="19">
        <v>2.5933735167583401E-2</v>
      </c>
      <c r="BB21" s="19">
        <f t="shared" si="7"/>
        <v>1.112469759262385E-2</v>
      </c>
      <c r="BC21" s="19">
        <f t="shared" si="8"/>
        <v>8.8906640902552646E-3</v>
      </c>
      <c r="BD21" s="19">
        <v>1.02968300207562E-2</v>
      </c>
      <c r="BE21" s="19">
        <v>1.19525651644915E-2</v>
      </c>
      <c r="BF21" s="19">
        <v>8.1455889827933003E-3</v>
      </c>
      <c r="BG21" s="19">
        <v>1.1091997343108E-3</v>
      </c>
      <c r="BH21" s="7"/>
      <c r="BI21" s="13" t="e">
        <f t="shared" si="30"/>
        <v>#REF!</v>
      </c>
      <c r="BJ21" s="7"/>
    </row>
    <row r="22" spans="1:72" x14ac:dyDescent="0.25">
      <c r="A22" s="7"/>
      <c r="B22" s="5" t="e">
        <f>'Power Calculator'!#REF!</f>
        <v>#REF!</v>
      </c>
      <c r="C22" s="5" t="e">
        <f>'Power Calculator'!#REF!</f>
        <v>#REF!</v>
      </c>
      <c r="D22" s="5" t="e">
        <f>'Power Calculator'!#REF!</f>
        <v>#REF!</v>
      </c>
      <c r="E22" s="22"/>
      <c r="F22" s="5" t="e">
        <f>'Power Calculator'!#REF!</f>
        <v>#REF!</v>
      </c>
      <c r="G22" s="22">
        <v>2</v>
      </c>
      <c r="H22" s="22">
        <v>2</v>
      </c>
      <c r="I22" s="22" t="e">
        <f t="shared" si="9"/>
        <v>#REF!</v>
      </c>
      <c r="J22" s="5" t="e">
        <f>'Power Calculator'!#REF!</f>
        <v>#REF!</v>
      </c>
      <c r="K22" s="5" t="e">
        <f>'Power Calculator'!#REF!</f>
        <v>#REF!</v>
      </c>
      <c r="L22" s="5" t="e">
        <f>'Power Calculator'!#REF!</f>
        <v>#REF!</v>
      </c>
      <c r="M22" s="5" t="e">
        <f>'Power Calculator'!#REF!</f>
        <v>#REF!</v>
      </c>
      <c r="N22" s="22" t="e">
        <f t="shared" si="10"/>
        <v>#REF!</v>
      </c>
      <c r="O22" s="22" t="e">
        <f t="shared" si="11"/>
        <v>#REF!</v>
      </c>
      <c r="P22" s="5" t="e">
        <f>'Power Calculator'!#REF!</f>
        <v>#REF!</v>
      </c>
      <c r="Q22" s="5" t="e">
        <f>'Power Calculator'!#REF!</f>
        <v>#REF!</v>
      </c>
      <c r="R22" s="5" t="e">
        <f>'Power Calculator'!#REF!</f>
        <v>#REF!</v>
      </c>
      <c r="S22" s="5" t="e">
        <f>'Power Calculator'!#REF!</f>
        <v>#REF!</v>
      </c>
      <c r="T22" s="22" t="e">
        <f t="shared" si="12"/>
        <v>#REF!</v>
      </c>
      <c r="U22" s="22" t="e">
        <f t="shared" si="13"/>
        <v>#REF!</v>
      </c>
      <c r="V22" s="5" t="e">
        <f>'Power Calculator'!#REF!</f>
        <v>#REF!</v>
      </c>
      <c r="W22" s="5" t="e">
        <f>'Power Calculator'!#REF!</f>
        <v>#REF!</v>
      </c>
      <c r="X22" s="5" t="e">
        <f>'Power Calculator'!#REF!</f>
        <v>#REF!</v>
      </c>
      <c r="Y22" s="5" t="e">
        <f>'Power Calculator'!#REF!</f>
        <v>#REF!</v>
      </c>
      <c r="Z22" s="22" t="e">
        <f t="shared" si="14"/>
        <v>#REF!</v>
      </c>
      <c r="AA22" s="22" t="e">
        <f t="shared" si="15"/>
        <v>#REF!</v>
      </c>
      <c r="AB22" s="22" t="e">
        <f t="shared" si="16"/>
        <v>#REF!</v>
      </c>
      <c r="AC22" s="22" t="e">
        <f t="shared" si="17"/>
        <v>#REF!</v>
      </c>
      <c r="AD22" s="22" t="e">
        <f t="shared" si="18"/>
        <v>#REF!</v>
      </c>
      <c r="AE22" s="22" t="e">
        <f t="shared" si="19"/>
        <v>#REF!</v>
      </c>
      <c r="AF22" s="22" t="e">
        <f t="shared" si="20"/>
        <v>#REF!</v>
      </c>
      <c r="AG22" s="22" t="e">
        <f t="shared" si="31"/>
        <v>#REF!</v>
      </c>
      <c r="AH22" s="22" t="e">
        <f t="shared" si="32"/>
        <v>#REF!</v>
      </c>
      <c r="AI22" s="22" t="e">
        <f t="shared" si="21"/>
        <v>#REF!</v>
      </c>
      <c r="AJ22" s="22" t="e">
        <f t="shared" si="22"/>
        <v>#REF!</v>
      </c>
      <c r="AK22" s="22" t="e">
        <f t="shared" si="23"/>
        <v>#REF!</v>
      </c>
      <c r="AL22" s="22" t="e">
        <f t="shared" si="24"/>
        <v>#REF!</v>
      </c>
      <c r="AM22" s="22" t="e">
        <f t="shared" si="25"/>
        <v>#REF!</v>
      </c>
      <c r="AN22" s="22" t="e">
        <f t="shared" si="26"/>
        <v>#REF!</v>
      </c>
      <c r="AO22" s="22" t="e">
        <f t="shared" si="27"/>
        <v>#REF!</v>
      </c>
      <c r="AP22" s="22" t="e">
        <f t="shared" si="28"/>
        <v>#REF!</v>
      </c>
      <c r="AQ22" s="27" t="e">
        <f t="shared" si="3"/>
        <v>#REF!</v>
      </c>
      <c r="AR22" s="19">
        <v>1.36047246044799E-3</v>
      </c>
      <c r="AS22" s="19">
        <v>2.07660877015537E-2</v>
      </c>
      <c r="AT22" s="19">
        <v>1.6501043189973901E-2</v>
      </c>
      <c r="AU22" s="19">
        <f t="shared" si="29"/>
        <v>4.6721662987524561E-3</v>
      </c>
      <c r="AV22" s="19">
        <f t="shared" si="4"/>
        <v>3.0561929309582628E-3</v>
      </c>
      <c r="AW22" s="19">
        <v>9.0014402195631593</v>
      </c>
      <c r="AX22" s="19">
        <f t="shared" si="5"/>
        <v>6.0783322292533928E-3</v>
      </c>
      <c r="AY22" s="19">
        <f t="shared" si="6"/>
        <v>7.4844981597543287E-3</v>
      </c>
      <c r="AZ22" s="19">
        <v>8.23060568309779E-2</v>
      </c>
      <c r="BA22" s="19">
        <v>2.5933735167583401E-2</v>
      </c>
      <c r="BB22" s="19">
        <f t="shared" si="7"/>
        <v>1.112469759262385E-2</v>
      </c>
      <c r="BC22" s="19">
        <f t="shared" si="8"/>
        <v>8.8906640902552646E-3</v>
      </c>
      <c r="BD22" s="19">
        <v>1.02968300207562E-2</v>
      </c>
      <c r="BE22" s="19">
        <v>1.19525651644915E-2</v>
      </c>
      <c r="BF22" s="19">
        <v>8.1455889827933003E-3</v>
      </c>
      <c r="BG22" s="19">
        <v>1.1091997343108E-3</v>
      </c>
      <c r="BH22" s="7"/>
      <c r="BI22" s="13" t="e">
        <f t="shared" si="30"/>
        <v>#REF!</v>
      </c>
      <c r="BJ22" s="7"/>
    </row>
    <row r="23" spans="1:72" x14ac:dyDescent="0.25">
      <c r="A23" s="7"/>
      <c r="B23" s="5" t="e">
        <f>'Power Calculator'!#REF!</f>
        <v>#REF!</v>
      </c>
      <c r="C23" s="5" t="e">
        <f>'Power Calculator'!#REF!</f>
        <v>#REF!</v>
      </c>
      <c r="D23" s="5" t="e">
        <f>'Power Calculator'!#REF!</f>
        <v>#REF!</v>
      </c>
      <c r="E23" s="22"/>
      <c r="F23" s="5" t="e">
        <f>'Power Calculator'!#REF!</f>
        <v>#REF!</v>
      </c>
      <c r="G23" s="22">
        <v>2</v>
      </c>
      <c r="H23" s="22">
        <v>2</v>
      </c>
      <c r="I23" s="22" t="e">
        <f t="shared" si="9"/>
        <v>#REF!</v>
      </c>
      <c r="J23" s="5" t="e">
        <f>'Power Calculator'!#REF!</f>
        <v>#REF!</v>
      </c>
      <c r="K23" s="5" t="e">
        <f>'Power Calculator'!#REF!</f>
        <v>#REF!</v>
      </c>
      <c r="L23" s="5" t="e">
        <f>'Power Calculator'!#REF!</f>
        <v>#REF!</v>
      </c>
      <c r="M23" s="5" t="e">
        <f>'Power Calculator'!#REF!</f>
        <v>#REF!</v>
      </c>
      <c r="N23" s="22" t="e">
        <f t="shared" si="10"/>
        <v>#REF!</v>
      </c>
      <c r="O23" s="22" t="e">
        <f t="shared" si="11"/>
        <v>#REF!</v>
      </c>
      <c r="P23" s="5" t="e">
        <f>'Power Calculator'!#REF!</f>
        <v>#REF!</v>
      </c>
      <c r="Q23" s="5" t="e">
        <f>'Power Calculator'!#REF!</f>
        <v>#REF!</v>
      </c>
      <c r="R23" s="5" t="e">
        <f>'Power Calculator'!#REF!</f>
        <v>#REF!</v>
      </c>
      <c r="S23" s="5" t="e">
        <f>'Power Calculator'!#REF!</f>
        <v>#REF!</v>
      </c>
      <c r="T23" s="22" t="e">
        <f t="shared" si="12"/>
        <v>#REF!</v>
      </c>
      <c r="U23" s="22" t="e">
        <f t="shared" si="13"/>
        <v>#REF!</v>
      </c>
      <c r="V23" s="5" t="e">
        <f>'Power Calculator'!#REF!</f>
        <v>#REF!</v>
      </c>
      <c r="W23" s="5" t="e">
        <f>'Power Calculator'!#REF!</f>
        <v>#REF!</v>
      </c>
      <c r="X23" s="5" t="e">
        <f>'Power Calculator'!#REF!</f>
        <v>#REF!</v>
      </c>
      <c r="Y23" s="5" t="e">
        <f>'Power Calculator'!#REF!</f>
        <v>#REF!</v>
      </c>
      <c r="Z23" s="22" t="e">
        <f t="shared" si="14"/>
        <v>#REF!</v>
      </c>
      <c r="AA23" s="22" t="e">
        <f t="shared" si="15"/>
        <v>#REF!</v>
      </c>
      <c r="AB23" s="22" t="e">
        <f t="shared" si="16"/>
        <v>#REF!</v>
      </c>
      <c r="AC23" s="22" t="e">
        <f t="shared" si="17"/>
        <v>#REF!</v>
      </c>
      <c r="AD23" s="22" t="e">
        <f t="shared" si="18"/>
        <v>#REF!</v>
      </c>
      <c r="AE23" s="22" t="e">
        <f t="shared" si="19"/>
        <v>#REF!</v>
      </c>
      <c r="AF23" s="22" t="e">
        <f t="shared" si="20"/>
        <v>#REF!</v>
      </c>
      <c r="AG23" s="22" t="e">
        <f t="shared" si="31"/>
        <v>#REF!</v>
      </c>
      <c r="AH23" s="22" t="e">
        <f t="shared" si="32"/>
        <v>#REF!</v>
      </c>
      <c r="AI23" s="22" t="e">
        <f t="shared" si="21"/>
        <v>#REF!</v>
      </c>
      <c r="AJ23" s="22" t="e">
        <f t="shared" si="22"/>
        <v>#REF!</v>
      </c>
      <c r="AK23" s="22" t="e">
        <f t="shared" si="23"/>
        <v>#REF!</v>
      </c>
      <c r="AL23" s="22" t="e">
        <f t="shared" si="24"/>
        <v>#REF!</v>
      </c>
      <c r="AM23" s="22" t="e">
        <f t="shared" si="25"/>
        <v>#REF!</v>
      </c>
      <c r="AN23" s="22" t="e">
        <f t="shared" si="26"/>
        <v>#REF!</v>
      </c>
      <c r="AO23" s="22" t="e">
        <f t="shared" si="27"/>
        <v>#REF!</v>
      </c>
      <c r="AP23" s="22" t="e">
        <f t="shared" si="28"/>
        <v>#REF!</v>
      </c>
      <c r="AQ23" s="27" t="e">
        <f t="shared" si="3"/>
        <v>#REF!</v>
      </c>
      <c r="AR23" s="19">
        <v>1.36047246044799E-3</v>
      </c>
      <c r="AS23" s="19">
        <v>2.07660877015537E-2</v>
      </c>
      <c r="AT23" s="19">
        <v>1.6501043189973901E-2</v>
      </c>
      <c r="AU23" s="19">
        <f t="shared" si="29"/>
        <v>4.6721662987524561E-3</v>
      </c>
      <c r="AV23" s="19">
        <f t="shared" si="4"/>
        <v>3.0561929309582628E-3</v>
      </c>
      <c r="AW23" s="19">
        <v>10.0014402195632</v>
      </c>
      <c r="AX23" s="19">
        <f t="shared" si="5"/>
        <v>6.0783322292533928E-3</v>
      </c>
      <c r="AY23" s="19">
        <f t="shared" si="6"/>
        <v>7.4844981597543287E-3</v>
      </c>
      <c r="AZ23" s="19">
        <v>8.23060568309779E-2</v>
      </c>
      <c r="BA23" s="19">
        <v>2.5933735167583401E-2</v>
      </c>
      <c r="BB23" s="19">
        <f t="shared" si="7"/>
        <v>1.112469759262385E-2</v>
      </c>
      <c r="BC23" s="19">
        <f t="shared" si="8"/>
        <v>8.8906640902552646E-3</v>
      </c>
      <c r="BD23" s="19">
        <v>1.02968300207562E-2</v>
      </c>
      <c r="BE23" s="19">
        <v>1.19525651644915E-2</v>
      </c>
      <c r="BF23" s="19">
        <v>8.1455889827933003E-3</v>
      </c>
      <c r="BG23" s="19">
        <v>1.1091997343108E-3</v>
      </c>
      <c r="BH23" s="7"/>
      <c r="BI23" s="13" t="e">
        <f t="shared" si="30"/>
        <v>#REF!</v>
      </c>
      <c r="BJ23" s="7"/>
    </row>
    <row r="24" spans="1:72" x14ac:dyDescent="0.25">
      <c r="A24" s="7"/>
      <c r="B24" s="5" t="e">
        <f>'Power Calculator'!#REF!</f>
        <v>#REF!</v>
      </c>
      <c r="C24" s="5" t="e">
        <f>'Power Calculator'!#REF!</f>
        <v>#REF!</v>
      </c>
      <c r="D24" s="5" t="e">
        <f>'Power Calculator'!#REF!</f>
        <v>#REF!</v>
      </c>
      <c r="E24" s="22"/>
      <c r="F24" s="5" t="e">
        <f>'Power Calculator'!#REF!</f>
        <v>#REF!</v>
      </c>
      <c r="G24" s="22">
        <v>2</v>
      </c>
      <c r="H24" s="22">
        <v>2</v>
      </c>
      <c r="I24" s="22" t="e">
        <f t="shared" si="9"/>
        <v>#REF!</v>
      </c>
      <c r="J24" s="5" t="e">
        <f>'Power Calculator'!#REF!</f>
        <v>#REF!</v>
      </c>
      <c r="K24" s="5" t="e">
        <f>'Power Calculator'!#REF!</f>
        <v>#REF!</v>
      </c>
      <c r="L24" s="5" t="e">
        <f>'Power Calculator'!#REF!</f>
        <v>#REF!</v>
      </c>
      <c r="M24" s="5" t="e">
        <f>'Power Calculator'!#REF!</f>
        <v>#REF!</v>
      </c>
      <c r="N24" s="22" t="e">
        <f t="shared" si="10"/>
        <v>#REF!</v>
      </c>
      <c r="O24" s="22" t="e">
        <f t="shared" si="11"/>
        <v>#REF!</v>
      </c>
      <c r="P24" s="5" t="e">
        <f>'Power Calculator'!#REF!</f>
        <v>#REF!</v>
      </c>
      <c r="Q24" s="5" t="e">
        <f>'Power Calculator'!#REF!</f>
        <v>#REF!</v>
      </c>
      <c r="R24" s="5" t="e">
        <f>'Power Calculator'!#REF!</f>
        <v>#REF!</v>
      </c>
      <c r="S24" s="5" t="e">
        <f>'Power Calculator'!#REF!</f>
        <v>#REF!</v>
      </c>
      <c r="T24" s="22" t="e">
        <f t="shared" si="12"/>
        <v>#REF!</v>
      </c>
      <c r="U24" s="22" t="e">
        <f t="shared" si="13"/>
        <v>#REF!</v>
      </c>
      <c r="V24" s="5" t="e">
        <f>'Power Calculator'!#REF!</f>
        <v>#REF!</v>
      </c>
      <c r="W24" s="5" t="e">
        <f>'Power Calculator'!#REF!</f>
        <v>#REF!</v>
      </c>
      <c r="X24" s="5" t="e">
        <f>'Power Calculator'!#REF!</f>
        <v>#REF!</v>
      </c>
      <c r="Y24" s="5" t="e">
        <f>'Power Calculator'!#REF!</f>
        <v>#REF!</v>
      </c>
      <c r="Z24" s="22" t="e">
        <f t="shared" si="14"/>
        <v>#REF!</v>
      </c>
      <c r="AA24" s="22" t="e">
        <f t="shared" si="15"/>
        <v>#REF!</v>
      </c>
      <c r="AB24" s="22" t="e">
        <f t="shared" si="16"/>
        <v>#REF!</v>
      </c>
      <c r="AC24" s="22" t="e">
        <f t="shared" si="17"/>
        <v>#REF!</v>
      </c>
      <c r="AD24" s="22" t="e">
        <f t="shared" si="18"/>
        <v>#REF!</v>
      </c>
      <c r="AE24" s="22" t="e">
        <f t="shared" si="19"/>
        <v>#REF!</v>
      </c>
      <c r="AF24" s="22" t="e">
        <f t="shared" si="20"/>
        <v>#REF!</v>
      </c>
      <c r="AG24" s="22" t="e">
        <f t="shared" si="31"/>
        <v>#REF!</v>
      </c>
      <c r="AH24" s="22" t="e">
        <f t="shared" si="32"/>
        <v>#REF!</v>
      </c>
      <c r="AI24" s="22" t="e">
        <f t="shared" si="21"/>
        <v>#REF!</v>
      </c>
      <c r="AJ24" s="22" t="e">
        <f t="shared" si="22"/>
        <v>#REF!</v>
      </c>
      <c r="AK24" s="22" t="e">
        <f t="shared" si="23"/>
        <v>#REF!</v>
      </c>
      <c r="AL24" s="22" t="e">
        <f t="shared" si="24"/>
        <v>#REF!</v>
      </c>
      <c r="AM24" s="22" t="e">
        <f t="shared" si="25"/>
        <v>#REF!</v>
      </c>
      <c r="AN24" s="22" t="e">
        <f t="shared" si="26"/>
        <v>#REF!</v>
      </c>
      <c r="AO24" s="22" t="e">
        <f t="shared" si="27"/>
        <v>#REF!</v>
      </c>
      <c r="AP24" s="22" t="e">
        <f t="shared" si="28"/>
        <v>#REF!</v>
      </c>
      <c r="AQ24" s="27" t="e">
        <f t="shared" si="3"/>
        <v>#REF!</v>
      </c>
      <c r="AR24" s="19">
        <v>1.36047246044799E-3</v>
      </c>
      <c r="AS24" s="19">
        <v>2.07660877015537E-2</v>
      </c>
      <c r="AT24" s="19">
        <v>1.6501043189973901E-2</v>
      </c>
      <c r="AU24" s="19">
        <f t="shared" si="29"/>
        <v>4.6721662987524561E-3</v>
      </c>
      <c r="AV24" s="19">
        <f t="shared" si="4"/>
        <v>3.0561929309582628E-3</v>
      </c>
      <c r="AW24" s="19">
        <v>11.0014402195632</v>
      </c>
      <c r="AX24" s="19">
        <f t="shared" si="5"/>
        <v>6.0783322292533928E-3</v>
      </c>
      <c r="AY24" s="19">
        <f t="shared" si="6"/>
        <v>7.4844981597543287E-3</v>
      </c>
      <c r="AZ24" s="19">
        <v>8.23060568309779E-2</v>
      </c>
      <c r="BA24" s="19">
        <v>2.5933735167583401E-2</v>
      </c>
      <c r="BB24" s="19">
        <f t="shared" si="7"/>
        <v>1.112469759262385E-2</v>
      </c>
      <c r="BC24" s="19">
        <f t="shared" si="8"/>
        <v>8.8906640902552646E-3</v>
      </c>
      <c r="BD24" s="19">
        <v>1.02968300207562E-2</v>
      </c>
      <c r="BE24" s="19">
        <v>1.19525651644915E-2</v>
      </c>
      <c r="BF24" s="19">
        <v>8.1455889827933003E-3</v>
      </c>
      <c r="BG24" s="19">
        <v>1.1091997343108E-3</v>
      </c>
      <c r="BH24" s="7"/>
      <c r="BI24" s="13" t="e">
        <f t="shared" si="30"/>
        <v>#REF!</v>
      </c>
      <c r="BJ24" s="7"/>
    </row>
    <row r="25" spans="1:72" x14ac:dyDescent="0.25">
      <c r="A25" s="7"/>
      <c r="B25" s="5" t="e">
        <f>'Power Calculator'!#REF!</f>
        <v>#REF!</v>
      </c>
      <c r="C25" s="5" t="e">
        <f>'Power Calculator'!#REF!</f>
        <v>#REF!</v>
      </c>
      <c r="D25" s="5" t="e">
        <f>'Power Calculator'!#REF!</f>
        <v>#REF!</v>
      </c>
      <c r="E25" s="22"/>
      <c r="F25" s="5" t="e">
        <f>'Power Calculator'!#REF!</f>
        <v>#REF!</v>
      </c>
      <c r="G25" s="22">
        <v>2</v>
      </c>
      <c r="H25" s="22">
        <v>2</v>
      </c>
      <c r="I25" s="22" t="e">
        <f t="shared" si="9"/>
        <v>#REF!</v>
      </c>
      <c r="J25" s="5" t="e">
        <f>'Power Calculator'!#REF!</f>
        <v>#REF!</v>
      </c>
      <c r="K25" s="5" t="e">
        <f>'Power Calculator'!#REF!</f>
        <v>#REF!</v>
      </c>
      <c r="L25" s="5" t="e">
        <f>'Power Calculator'!#REF!</f>
        <v>#REF!</v>
      </c>
      <c r="M25" s="5" t="e">
        <f>'Power Calculator'!#REF!</f>
        <v>#REF!</v>
      </c>
      <c r="N25" s="22" t="e">
        <f t="shared" si="10"/>
        <v>#REF!</v>
      </c>
      <c r="O25" s="22" t="e">
        <f t="shared" si="11"/>
        <v>#REF!</v>
      </c>
      <c r="P25" s="5" t="e">
        <f>'Power Calculator'!#REF!</f>
        <v>#REF!</v>
      </c>
      <c r="Q25" s="5" t="e">
        <f>'Power Calculator'!#REF!</f>
        <v>#REF!</v>
      </c>
      <c r="R25" s="5" t="e">
        <f>'Power Calculator'!#REF!</f>
        <v>#REF!</v>
      </c>
      <c r="S25" s="5" t="e">
        <f>'Power Calculator'!#REF!</f>
        <v>#REF!</v>
      </c>
      <c r="T25" s="22" t="e">
        <f t="shared" si="12"/>
        <v>#REF!</v>
      </c>
      <c r="U25" s="22" t="e">
        <f t="shared" si="13"/>
        <v>#REF!</v>
      </c>
      <c r="V25" s="5" t="e">
        <f>'Power Calculator'!#REF!</f>
        <v>#REF!</v>
      </c>
      <c r="W25" s="5" t="e">
        <f>'Power Calculator'!#REF!</f>
        <v>#REF!</v>
      </c>
      <c r="X25" s="5" t="e">
        <f>'Power Calculator'!#REF!</f>
        <v>#REF!</v>
      </c>
      <c r="Y25" s="5" t="e">
        <f>'Power Calculator'!#REF!</f>
        <v>#REF!</v>
      </c>
      <c r="Z25" s="22" t="e">
        <f t="shared" si="14"/>
        <v>#REF!</v>
      </c>
      <c r="AA25" s="22" t="e">
        <f t="shared" si="15"/>
        <v>#REF!</v>
      </c>
      <c r="AB25" s="22" t="e">
        <f t="shared" si="16"/>
        <v>#REF!</v>
      </c>
      <c r="AC25" s="22" t="e">
        <f t="shared" si="17"/>
        <v>#REF!</v>
      </c>
      <c r="AD25" s="22" t="e">
        <f t="shared" si="18"/>
        <v>#REF!</v>
      </c>
      <c r="AE25" s="22" t="e">
        <f t="shared" si="19"/>
        <v>#REF!</v>
      </c>
      <c r="AF25" s="22" t="e">
        <f t="shared" si="20"/>
        <v>#REF!</v>
      </c>
      <c r="AG25" s="22" t="e">
        <f t="shared" si="31"/>
        <v>#REF!</v>
      </c>
      <c r="AH25" s="22" t="e">
        <f t="shared" si="32"/>
        <v>#REF!</v>
      </c>
      <c r="AI25" s="22" t="e">
        <f t="shared" si="21"/>
        <v>#REF!</v>
      </c>
      <c r="AJ25" s="22" t="e">
        <f t="shared" si="22"/>
        <v>#REF!</v>
      </c>
      <c r="AK25" s="22" t="e">
        <f t="shared" si="23"/>
        <v>#REF!</v>
      </c>
      <c r="AL25" s="22" t="e">
        <f t="shared" si="24"/>
        <v>#REF!</v>
      </c>
      <c r="AM25" s="22" t="e">
        <f t="shared" si="25"/>
        <v>#REF!</v>
      </c>
      <c r="AN25" s="22" t="e">
        <f t="shared" si="26"/>
        <v>#REF!</v>
      </c>
      <c r="AO25" s="22" t="e">
        <f t="shared" si="27"/>
        <v>#REF!</v>
      </c>
      <c r="AP25" s="22" t="e">
        <f t="shared" si="28"/>
        <v>#REF!</v>
      </c>
      <c r="AQ25" s="27" t="e">
        <f t="shared" si="3"/>
        <v>#REF!</v>
      </c>
      <c r="AR25" s="19">
        <v>1.36047246044799E-3</v>
      </c>
      <c r="AS25" s="19">
        <v>2.07660877015537E-2</v>
      </c>
      <c r="AT25" s="19">
        <v>1.6501043189973901E-2</v>
      </c>
      <c r="AU25" s="19">
        <f t="shared" si="29"/>
        <v>4.6721662987524561E-3</v>
      </c>
      <c r="AV25" s="19">
        <f t="shared" si="4"/>
        <v>3.0561929309582628E-3</v>
      </c>
      <c r="AW25" s="19">
        <v>12.0014402195632</v>
      </c>
      <c r="AX25" s="19">
        <f t="shared" si="5"/>
        <v>6.0783322292533928E-3</v>
      </c>
      <c r="AY25" s="19">
        <f t="shared" si="6"/>
        <v>7.4844981597543287E-3</v>
      </c>
      <c r="AZ25" s="19">
        <v>8.23060568309779E-2</v>
      </c>
      <c r="BA25" s="19">
        <v>2.5933735167583401E-2</v>
      </c>
      <c r="BB25" s="19">
        <f t="shared" si="7"/>
        <v>1.112469759262385E-2</v>
      </c>
      <c r="BC25" s="19">
        <f t="shared" si="8"/>
        <v>8.8906640902552646E-3</v>
      </c>
      <c r="BD25" s="19">
        <v>1.02968300207562E-2</v>
      </c>
      <c r="BE25" s="19">
        <v>1.19525651644915E-2</v>
      </c>
      <c r="BF25" s="19">
        <v>8.1455889827933003E-3</v>
      </c>
      <c r="BG25" s="19">
        <v>1.1091997343108E-3</v>
      </c>
      <c r="BH25" s="7"/>
      <c r="BI25" s="13" t="e">
        <f t="shared" si="30"/>
        <v>#REF!</v>
      </c>
      <c r="BJ25" s="7"/>
    </row>
    <row r="26" spans="1:72" x14ac:dyDescent="0.25">
      <c r="A26" s="7"/>
      <c r="B26" s="5" t="e">
        <f>'Power Calculator'!#REF!</f>
        <v>#REF!</v>
      </c>
      <c r="C26" s="5" t="e">
        <f>'Power Calculator'!#REF!</f>
        <v>#REF!</v>
      </c>
      <c r="D26" s="5" t="e">
        <f>'Power Calculator'!#REF!</f>
        <v>#REF!</v>
      </c>
      <c r="E26" s="22"/>
      <c r="F26" s="5" t="e">
        <f>'Power Calculator'!#REF!</f>
        <v>#REF!</v>
      </c>
      <c r="G26" s="22">
        <v>2</v>
      </c>
      <c r="H26" s="22">
        <v>2</v>
      </c>
      <c r="I26" s="22" t="e">
        <f t="shared" si="9"/>
        <v>#REF!</v>
      </c>
      <c r="J26" s="5" t="e">
        <f>'Power Calculator'!#REF!</f>
        <v>#REF!</v>
      </c>
      <c r="K26" s="5" t="e">
        <f>'Power Calculator'!#REF!</f>
        <v>#REF!</v>
      </c>
      <c r="L26" s="5" t="e">
        <f>'Power Calculator'!#REF!</f>
        <v>#REF!</v>
      </c>
      <c r="M26" s="5" t="e">
        <f>'Power Calculator'!#REF!</f>
        <v>#REF!</v>
      </c>
      <c r="N26" s="22" t="e">
        <f t="shared" si="10"/>
        <v>#REF!</v>
      </c>
      <c r="O26" s="22" t="e">
        <f t="shared" si="11"/>
        <v>#REF!</v>
      </c>
      <c r="P26" s="5" t="e">
        <f>'Power Calculator'!#REF!</f>
        <v>#REF!</v>
      </c>
      <c r="Q26" s="5" t="e">
        <f>'Power Calculator'!#REF!</f>
        <v>#REF!</v>
      </c>
      <c r="R26" s="5" t="e">
        <f>'Power Calculator'!#REF!</f>
        <v>#REF!</v>
      </c>
      <c r="S26" s="5" t="e">
        <f>'Power Calculator'!#REF!</f>
        <v>#REF!</v>
      </c>
      <c r="T26" s="22" t="e">
        <f t="shared" si="12"/>
        <v>#REF!</v>
      </c>
      <c r="U26" s="22" t="e">
        <f t="shared" si="13"/>
        <v>#REF!</v>
      </c>
      <c r="V26" s="5" t="e">
        <f>'Power Calculator'!#REF!</f>
        <v>#REF!</v>
      </c>
      <c r="W26" s="5" t="e">
        <f>'Power Calculator'!#REF!</f>
        <v>#REF!</v>
      </c>
      <c r="X26" s="5" t="e">
        <f>'Power Calculator'!#REF!</f>
        <v>#REF!</v>
      </c>
      <c r="Y26" s="5" t="e">
        <f>'Power Calculator'!#REF!</f>
        <v>#REF!</v>
      </c>
      <c r="Z26" s="22" t="e">
        <f t="shared" si="14"/>
        <v>#REF!</v>
      </c>
      <c r="AA26" s="22" t="e">
        <f t="shared" si="15"/>
        <v>#REF!</v>
      </c>
      <c r="AB26" s="22" t="e">
        <f t="shared" si="16"/>
        <v>#REF!</v>
      </c>
      <c r="AC26" s="22" t="e">
        <f t="shared" si="17"/>
        <v>#REF!</v>
      </c>
      <c r="AD26" s="22" t="e">
        <f t="shared" si="18"/>
        <v>#REF!</v>
      </c>
      <c r="AE26" s="22" t="e">
        <f t="shared" si="19"/>
        <v>#REF!</v>
      </c>
      <c r="AF26" s="22" t="e">
        <f t="shared" si="20"/>
        <v>#REF!</v>
      </c>
      <c r="AG26" s="22" t="e">
        <f t="shared" si="31"/>
        <v>#REF!</v>
      </c>
      <c r="AH26" s="22" t="e">
        <f t="shared" si="32"/>
        <v>#REF!</v>
      </c>
      <c r="AI26" s="22" t="e">
        <f t="shared" si="21"/>
        <v>#REF!</v>
      </c>
      <c r="AJ26" s="22" t="e">
        <f t="shared" si="22"/>
        <v>#REF!</v>
      </c>
      <c r="AK26" s="22" t="e">
        <f t="shared" si="23"/>
        <v>#REF!</v>
      </c>
      <c r="AL26" s="22" t="e">
        <f t="shared" si="24"/>
        <v>#REF!</v>
      </c>
      <c r="AM26" s="22" t="e">
        <f t="shared" si="25"/>
        <v>#REF!</v>
      </c>
      <c r="AN26" s="22" t="e">
        <f t="shared" si="26"/>
        <v>#REF!</v>
      </c>
      <c r="AO26" s="22" t="e">
        <f t="shared" si="27"/>
        <v>#REF!</v>
      </c>
      <c r="AP26" s="22" t="e">
        <f t="shared" si="28"/>
        <v>#REF!</v>
      </c>
      <c r="AQ26" s="27" t="e">
        <f t="shared" si="3"/>
        <v>#REF!</v>
      </c>
      <c r="AR26" s="19">
        <v>1.36047246044799E-3</v>
      </c>
      <c r="AS26" s="19">
        <v>2.07660877015537E-2</v>
      </c>
      <c r="AT26" s="19">
        <v>1.6501043189973901E-2</v>
      </c>
      <c r="AU26" s="19">
        <f t="shared" si="29"/>
        <v>4.6721662987524561E-3</v>
      </c>
      <c r="AV26" s="19">
        <f t="shared" si="4"/>
        <v>3.0561929309582628E-3</v>
      </c>
      <c r="AW26" s="19">
        <v>13.0014402195632</v>
      </c>
      <c r="AX26" s="19">
        <f t="shared" si="5"/>
        <v>6.0783322292533928E-3</v>
      </c>
      <c r="AY26" s="19">
        <f t="shared" si="6"/>
        <v>7.4844981597543287E-3</v>
      </c>
      <c r="AZ26" s="19">
        <v>8.23060568309779E-2</v>
      </c>
      <c r="BA26" s="19">
        <v>2.5933735167583401E-2</v>
      </c>
      <c r="BB26" s="19">
        <f t="shared" si="7"/>
        <v>1.112469759262385E-2</v>
      </c>
      <c r="BC26" s="19">
        <f t="shared" si="8"/>
        <v>8.8906640902552646E-3</v>
      </c>
      <c r="BD26" s="19">
        <v>1.02968300207562E-2</v>
      </c>
      <c r="BE26" s="19">
        <v>1.19525651644915E-2</v>
      </c>
      <c r="BF26" s="19">
        <v>8.1455889827933003E-3</v>
      </c>
      <c r="BG26" s="19">
        <v>1.1091997343108E-3</v>
      </c>
      <c r="BH26" s="7"/>
      <c r="BI26" s="13" t="e">
        <f t="shared" si="30"/>
        <v>#REF!</v>
      </c>
      <c r="BJ26" s="7"/>
    </row>
    <row r="27" spans="1:72" x14ac:dyDescent="0.25">
      <c r="A27" s="7"/>
      <c r="B27" s="7"/>
      <c r="C27" s="7"/>
      <c r="D27" s="7"/>
      <c r="F27" s="7"/>
      <c r="J27" s="7"/>
      <c r="K27" s="7"/>
      <c r="L27" s="7"/>
      <c r="M27" s="7"/>
      <c r="P27" s="7"/>
      <c r="Q27" s="7"/>
      <c r="R27" s="7"/>
      <c r="S27" s="7"/>
      <c r="V27" s="7"/>
      <c r="W27" s="7"/>
      <c r="X27" s="7"/>
      <c r="Y27" s="7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BH27" s="7"/>
      <c r="BI27" s="7"/>
      <c r="BJ27" s="7"/>
    </row>
    <row r="28" spans="1:72" s="7" customFormat="1" x14ac:dyDescent="0.25">
      <c r="E28" s="19"/>
      <c r="G28" s="19"/>
      <c r="H28" s="19"/>
      <c r="I28" s="19"/>
      <c r="N28" s="19"/>
      <c r="O28" s="19"/>
      <c r="T28" s="19"/>
      <c r="U28" s="19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</row>
  </sheetData>
  <mergeCells count="8">
    <mergeCell ref="A1:BJ4"/>
    <mergeCell ref="B6:Z7"/>
    <mergeCell ref="B8:Y8"/>
    <mergeCell ref="B10:Y10"/>
    <mergeCell ref="B11:F11"/>
    <mergeCell ref="J11:M11"/>
    <mergeCell ref="P11:S11"/>
    <mergeCell ref="V11:Y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67"/>
  <sheetViews>
    <sheetView topLeftCell="C1" zoomScale="90" zoomScaleNormal="90" workbookViewId="0">
      <selection activeCell="W19" sqref="W19"/>
    </sheetView>
  </sheetViews>
  <sheetFormatPr defaultRowHeight="15" x14ac:dyDescent="0.25"/>
  <cols>
    <col min="2" max="2" width="16.7109375" customWidth="1"/>
    <col min="3" max="3" width="13.140625" customWidth="1"/>
    <col min="4" max="4" width="15.7109375" customWidth="1"/>
    <col min="5" max="5" width="16.42578125" customWidth="1"/>
    <col min="7" max="7" width="12.42578125" bestFit="1" customWidth="1"/>
    <col min="8" max="8" width="12.5703125" customWidth="1"/>
    <col min="11" max="11" width="12.5703125" customWidth="1"/>
    <col min="12" max="12" width="14" customWidth="1"/>
    <col min="21" max="21" width="24.42578125" bestFit="1" customWidth="1"/>
    <col min="25" max="25" width="9.7109375" customWidth="1"/>
    <col min="26" max="26" width="12.5703125" bestFit="1" customWidth="1"/>
    <col min="27" max="28" width="11.28515625" bestFit="1" customWidth="1"/>
  </cols>
  <sheetData>
    <row r="1" spans="1:27" x14ac:dyDescent="0.25">
      <c r="A1" t="s">
        <v>8</v>
      </c>
      <c r="B1" t="s">
        <v>23</v>
      </c>
      <c r="C1" t="s">
        <v>22</v>
      </c>
      <c r="D1" t="s">
        <v>67</v>
      </c>
      <c r="E1" t="s">
        <v>68</v>
      </c>
      <c r="F1" t="s">
        <v>1</v>
      </c>
      <c r="G1" t="s">
        <v>0</v>
      </c>
      <c r="I1" t="s">
        <v>113</v>
      </c>
    </row>
    <row r="2" spans="1:27" x14ac:dyDescent="0.25">
      <c r="B2">
        <v>0</v>
      </c>
      <c r="G2" t="s">
        <v>83</v>
      </c>
      <c r="T2" s="37"/>
      <c r="U2" s="37"/>
      <c r="V2" s="37"/>
      <c r="W2" s="37"/>
      <c r="Y2" s="33" t="s">
        <v>133</v>
      </c>
      <c r="Z2" s="34"/>
      <c r="AA2" s="35"/>
    </row>
    <row r="3" spans="1:27" x14ac:dyDescent="0.25">
      <c r="A3" s="6">
        <v>0.5</v>
      </c>
      <c r="B3">
        <v>1</v>
      </c>
      <c r="C3">
        <v>10</v>
      </c>
      <c r="D3">
        <v>1</v>
      </c>
      <c r="E3" t="s">
        <v>73</v>
      </c>
      <c r="F3">
        <v>1</v>
      </c>
      <c r="G3" t="s">
        <v>84</v>
      </c>
      <c r="I3" s="33" t="s">
        <v>92</v>
      </c>
      <c r="J3" s="34"/>
      <c r="K3" s="35"/>
      <c r="M3" s="33" t="s">
        <v>93</v>
      </c>
      <c r="N3" s="34"/>
      <c r="O3" s="35"/>
      <c r="Q3" s="51" t="s">
        <v>94</v>
      </c>
      <c r="R3" s="47"/>
      <c r="S3" s="48"/>
      <c r="T3" s="37"/>
      <c r="U3" s="37"/>
      <c r="V3" s="37"/>
      <c r="W3" s="37"/>
      <c r="Y3" s="36" t="s">
        <v>134</v>
      </c>
      <c r="Z3" s="37" t="s">
        <v>83</v>
      </c>
      <c r="AA3" s="38" t="s">
        <v>84</v>
      </c>
    </row>
    <row r="4" spans="1:27" x14ac:dyDescent="0.25">
      <c r="A4" s="6">
        <v>1</v>
      </c>
      <c r="B4">
        <v>2</v>
      </c>
      <c r="C4">
        <v>20</v>
      </c>
      <c r="D4">
        <v>1.1000000000000001</v>
      </c>
      <c r="E4" t="s">
        <v>74</v>
      </c>
      <c r="F4">
        <v>2</v>
      </c>
      <c r="I4" s="36">
        <v>1</v>
      </c>
      <c r="J4" s="37" t="s">
        <v>95</v>
      </c>
      <c r="K4" s="38">
        <v>2</v>
      </c>
      <c r="M4" s="36">
        <v>1</v>
      </c>
      <c r="N4" s="37" t="s">
        <v>96</v>
      </c>
      <c r="O4" s="38">
        <v>0</v>
      </c>
      <c r="Q4" s="49">
        <v>1</v>
      </c>
      <c r="R4" s="78" t="str">
        <f>"No Tide!"</f>
        <v>No Tide!</v>
      </c>
      <c r="S4" s="38">
        <v>0</v>
      </c>
      <c r="T4" s="37"/>
      <c r="U4" s="37"/>
      <c r="V4" s="69"/>
      <c r="W4" s="69"/>
      <c r="Y4" s="36">
        <v>0.5</v>
      </c>
      <c r="Z4" s="37">
        <v>90</v>
      </c>
      <c r="AA4" s="38">
        <v>6</v>
      </c>
    </row>
    <row r="5" spans="1:27" x14ac:dyDescent="0.25">
      <c r="A5" s="6">
        <v>1.5</v>
      </c>
      <c r="B5">
        <v>3</v>
      </c>
      <c r="C5">
        <v>30</v>
      </c>
      <c r="D5">
        <v>1.2</v>
      </c>
      <c r="F5">
        <v>3</v>
      </c>
      <c r="I5" s="39">
        <v>2</v>
      </c>
      <c r="J5" s="40" t="s">
        <v>98</v>
      </c>
      <c r="K5" s="41">
        <v>4</v>
      </c>
      <c r="M5" s="36">
        <v>2</v>
      </c>
      <c r="N5" s="37">
        <v>256</v>
      </c>
      <c r="O5" s="38">
        <v>256</v>
      </c>
      <c r="Q5" s="49">
        <v>2</v>
      </c>
      <c r="R5" s="78" t="s">
        <v>125</v>
      </c>
      <c r="S5" s="38">
        <v>10</v>
      </c>
      <c r="T5" s="37"/>
      <c r="U5" s="37"/>
      <c r="V5" s="69"/>
      <c r="W5" s="69"/>
      <c r="Y5" s="36">
        <v>1</v>
      </c>
      <c r="Z5" s="37">
        <v>45</v>
      </c>
      <c r="AA5" s="38">
        <v>4.3</v>
      </c>
    </row>
    <row r="6" spans="1:27" x14ac:dyDescent="0.25">
      <c r="A6" s="6">
        <v>2</v>
      </c>
      <c r="B6">
        <v>4</v>
      </c>
      <c r="C6">
        <v>40</v>
      </c>
      <c r="D6">
        <v>1.3</v>
      </c>
      <c r="F6">
        <v>5</v>
      </c>
      <c r="M6" s="36">
        <v>3</v>
      </c>
      <c r="N6" s="37">
        <v>512</v>
      </c>
      <c r="O6" s="38">
        <v>512</v>
      </c>
      <c r="Q6" s="49">
        <v>3</v>
      </c>
      <c r="R6" s="78" t="s">
        <v>126</v>
      </c>
      <c r="S6" s="38">
        <v>20</v>
      </c>
      <c r="T6" s="37"/>
      <c r="U6" s="37"/>
      <c r="V6" s="37"/>
      <c r="W6" s="37"/>
      <c r="Y6" s="36">
        <v>1.5</v>
      </c>
      <c r="Z6" s="37">
        <v>30</v>
      </c>
      <c r="AA6" s="38">
        <v>3.5</v>
      </c>
    </row>
    <row r="7" spans="1:27" x14ac:dyDescent="0.25">
      <c r="A7" s="6">
        <v>2.5</v>
      </c>
      <c r="B7">
        <v>5</v>
      </c>
      <c r="C7">
        <v>50</v>
      </c>
      <c r="D7">
        <v>1.4</v>
      </c>
      <c r="F7">
        <v>6</v>
      </c>
      <c r="M7" s="36">
        <v>4</v>
      </c>
      <c r="N7" s="37">
        <v>1024</v>
      </c>
      <c r="O7" s="38">
        <v>1024</v>
      </c>
      <c r="Q7" s="49">
        <v>4</v>
      </c>
      <c r="R7" s="78" t="s">
        <v>127</v>
      </c>
      <c r="S7" s="38">
        <v>30</v>
      </c>
      <c r="T7" s="37"/>
      <c r="U7" s="37"/>
      <c r="V7" s="37"/>
      <c r="W7" s="37"/>
      <c r="Y7" s="36">
        <v>2</v>
      </c>
      <c r="Z7" s="37">
        <v>22</v>
      </c>
      <c r="AA7" s="38">
        <v>3</v>
      </c>
    </row>
    <row r="8" spans="1:27" x14ac:dyDescent="0.25">
      <c r="A8" s="6">
        <v>3</v>
      </c>
      <c r="B8">
        <v>6</v>
      </c>
      <c r="C8">
        <v>60</v>
      </c>
      <c r="D8">
        <v>1.5</v>
      </c>
      <c r="F8">
        <v>10</v>
      </c>
      <c r="M8" s="39">
        <v>5</v>
      </c>
      <c r="N8" s="40">
        <v>2048</v>
      </c>
      <c r="O8" s="41">
        <v>2048</v>
      </c>
      <c r="Q8" s="49">
        <v>5</v>
      </c>
      <c r="R8" s="78" t="s">
        <v>128</v>
      </c>
      <c r="S8" s="38">
        <v>40</v>
      </c>
      <c r="T8" s="37"/>
      <c r="U8" s="37"/>
      <c r="V8" s="69"/>
      <c r="W8" s="69"/>
      <c r="Y8" s="36">
        <v>2.5</v>
      </c>
      <c r="Z8" s="37">
        <v>18</v>
      </c>
      <c r="AA8" s="38">
        <v>2.7</v>
      </c>
    </row>
    <row r="9" spans="1:27" x14ac:dyDescent="0.25">
      <c r="A9" s="6">
        <v>3.5</v>
      </c>
      <c r="B9">
        <v>7</v>
      </c>
      <c r="C9">
        <v>70</v>
      </c>
      <c r="D9">
        <v>1.6</v>
      </c>
      <c r="F9">
        <v>15</v>
      </c>
      <c r="Q9" s="49">
        <v>6</v>
      </c>
      <c r="R9" s="78" t="s">
        <v>129</v>
      </c>
      <c r="S9" s="38">
        <v>50</v>
      </c>
      <c r="T9" s="37"/>
      <c r="U9" s="37"/>
      <c r="V9" s="69"/>
      <c r="W9" s="69"/>
      <c r="Y9" s="36">
        <v>3</v>
      </c>
      <c r="Z9" s="37">
        <v>15</v>
      </c>
      <c r="AA9" s="38">
        <v>2.5</v>
      </c>
    </row>
    <row r="10" spans="1:27" x14ac:dyDescent="0.25">
      <c r="A10" s="6">
        <v>4</v>
      </c>
      <c r="B10">
        <v>8</v>
      </c>
      <c r="C10">
        <v>80</v>
      </c>
      <c r="D10">
        <v>1.7</v>
      </c>
      <c r="F10">
        <v>20</v>
      </c>
      <c r="M10" s="43"/>
      <c r="N10" s="43"/>
      <c r="O10" s="43"/>
      <c r="Q10" s="49">
        <v>7</v>
      </c>
      <c r="R10" s="78" t="s">
        <v>101</v>
      </c>
      <c r="S10" s="38">
        <v>60</v>
      </c>
      <c r="T10" s="37"/>
      <c r="U10" s="37"/>
      <c r="V10" s="69"/>
      <c r="W10" s="69"/>
      <c r="Y10" s="36">
        <v>3.5</v>
      </c>
      <c r="Z10" s="37">
        <v>13</v>
      </c>
      <c r="AA10" s="38">
        <v>2.2999999999999998</v>
      </c>
    </row>
    <row r="11" spans="1:27" x14ac:dyDescent="0.25">
      <c r="A11" s="6">
        <v>4.5</v>
      </c>
      <c r="B11">
        <v>9</v>
      </c>
      <c r="C11">
        <v>90</v>
      </c>
      <c r="D11">
        <v>1.8</v>
      </c>
      <c r="F11">
        <v>30</v>
      </c>
      <c r="M11" s="43"/>
      <c r="N11" s="43"/>
      <c r="O11" s="43"/>
      <c r="Q11" s="49">
        <v>8</v>
      </c>
      <c r="R11" s="78" t="s">
        <v>103</v>
      </c>
      <c r="S11" s="38">
        <v>120</v>
      </c>
      <c r="T11" s="37"/>
      <c r="U11" s="37"/>
      <c r="V11" s="69"/>
      <c r="W11" s="69"/>
      <c r="Y11" s="36">
        <v>4</v>
      </c>
      <c r="Z11" s="37">
        <v>12</v>
      </c>
      <c r="AA11" s="38">
        <v>2.2000000000000002</v>
      </c>
    </row>
    <row r="12" spans="1:27" x14ac:dyDescent="0.25">
      <c r="A12" s="6">
        <v>5</v>
      </c>
      <c r="B12">
        <v>10</v>
      </c>
      <c r="C12">
        <v>100</v>
      </c>
      <c r="D12">
        <v>1.9</v>
      </c>
      <c r="F12">
        <v>60</v>
      </c>
      <c r="M12" s="43"/>
      <c r="N12" s="43"/>
      <c r="O12" s="43"/>
      <c r="Q12" s="49">
        <v>9</v>
      </c>
      <c r="R12" s="78" t="s">
        <v>105</v>
      </c>
      <c r="S12" s="38">
        <v>180</v>
      </c>
      <c r="T12" s="37"/>
      <c r="U12" s="37"/>
      <c r="V12" s="37"/>
      <c r="W12" s="37"/>
      <c r="Y12" s="36">
        <v>4.5</v>
      </c>
      <c r="Z12" s="37">
        <v>11</v>
      </c>
      <c r="AA12" s="38">
        <v>2</v>
      </c>
    </row>
    <row r="13" spans="1:27" x14ac:dyDescent="0.25">
      <c r="B13">
        <v>12</v>
      </c>
      <c r="C13">
        <v>150</v>
      </c>
      <c r="D13">
        <v>2</v>
      </c>
      <c r="F13">
        <v>120</v>
      </c>
      <c r="M13" s="43"/>
      <c r="N13" s="43"/>
      <c r="O13" s="43"/>
      <c r="Q13" s="49">
        <v>10</v>
      </c>
      <c r="R13" s="78" t="s">
        <v>106</v>
      </c>
      <c r="S13" s="38">
        <v>240</v>
      </c>
      <c r="T13" s="37"/>
      <c r="U13" s="37"/>
      <c r="V13" s="69"/>
      <c r="W13" s="69"/>
      <c r="Y13" s="39">
        <v>5</v>
      </c>
      <c r="Z13" s="40">
        <v>10</v>
      </c>
      <c r="AA13" s="41">
        <v>1.9</v>
      </c>
    </row>
    <row r="14" spans="1:27" x14ac:dyDescent="0.25">
      <c r="B14">
        <v>15</v>
      </c>
      <c r="C14">
        <v>200</v>
      </c>
      <c r="D14">
        <v>2.1</v>
      </c>
      <c r="M14" s="43"/>
      <c r="N14" s="43"/>
      <c r="O14" s="43"/>
      <c r="Q14" s="49">
        <v>11</v>
      </c>
      <c r="R14" s="78" t="s">
        <v>108</v>
      </c>
      <c r="S14" s="38">
        <v>300</v>
      </c>
      <c r="T14" s="37"/>
      <c r="U14" s="37"/>
      <c r="V14" s="69"/>
      <c r="W14" s="69"/>
    </row>
    <row r="15" spans="1:27" x14ac:dyDescent="0.25">
      <c r="B15">
        <v>20</v>
      </c>
      <c r="C15">
        <v>250</v>
      </c>
      <c r="D15">
        <v>2.2000000000000002</v>
      </c>
      <c r="M15" s="43"/>
      <c r="N15" s="43"/>
      <c r="O15" s="43"/>
      <c r="Q15" s="49">
        <v>12</v>
      </c>
      <c r="R15" s="78" t="s">
        <v>109</v>
      </c>
      <c r="S15" s="38">
        <v>360</v>
      </c>
      <c r="T15" s="37"/>
      <c r="U15" s="37"/>
      <c r="V15" s="69"/>
      <c r="W15" s="69"/>
    </row>
    <row r="16" spans="1:27" x14ac:dyDescent="0.25">
      <c r="B16">
        <v>25</v>
      </c>
      <c r="C16">
        <v>300</v>
      </c>
      <c r="D16">
        <v>2.2999999999999998</v>
      </c>
      <c r="Q16" s="49">
        <v>13</v>
      </c>
      <c r="R16" s="78" t="s">
        <v>110</v>
      </c>
      <c r="S16" s="38">
        <v>420</v>
      </c>
      <c r="T16" s="37"/>
      <c r="U16" s="37"/>
      <c r="V16" s="69"/>
      <c r="W16" s="69"/>
    </row>
    <row r="17" spans="2:23" x14ac:dyDescent="0.25">
      <c r="B17">
        <v>30</v>
      </c>
      <c r="C17">
        <v>400</v>
      </c>
      <c r="D17">
        <v>2.4</v>
      </c>
      <c r="Q17" s="50">
        <v>14</v>
      </c>
      <c r="R17" s="75" t="s">
        <v>111</v>
      </c>
      <c r="S17" s="41">
        <v>480</v>
      </c>
      <c r="T17" s="37"/>
      <c r="U17" s="37"/>
      <c r="V17" s="37"/>
      <c r="W17" s="37"/>
    </row>
    <row r="18" spans="2:23" x14ac:dyDescent="0.25">
      <c r="B18">
        <v>35</v>
      </c>
      <c r="C18">
        <v>500</v>
      </c>
      <c r="D18">
        <v>2.5</v>
      </c>
      <c r="T18" s="37"/>
      <c r="U18" s="37"/>
      <c r="V18" s="37"/>
      <c r="W18" s="37"/>
    </row>
    <row r="19" spans="2:23" x14ac:dyDescent="0.25">
      <c r="B19">
        <v>40</v>
      </c>
      <c r="C19">
        <v>600</v>
      </c>
      <c r="D19">
        <v>2.6</v>
      </c>
      <c r="T19" s="37"/>
      <c r="U19" s="37"/>
      <c r="V19" s="69"/>
      <c r="W19" s="69"/>
    </row>
    <row r="20" spans="2:23" x14ac:dyDescent="0.25">
      <c r="B20">
        <v>45</v>
      </c>
      <c r="C20">
        <v>800</v>
      </c>
      <c r="D20">
        <v>2.7</v>
      </c>
      <c r="T20" s="37"/>
      <c r="U20" s="37"/>
      <c r="V20" s="69"/>
      <c r="W20" s="69"/>
    </row>
    <row r="21" spans="2:23" x14ac:dyDescent="0.25">
      <c r="B21">
        <v>50</v>
      </c>
      <c r="C21">
        <v>1200</v>
      </c>
      <c r="D21">
        <v>2.8</v>
      </c>
      <c r="T21" s="37"/>
      <c r="U21" s="37"/>
      <c r="V21" s="69"/>
      <c r="W21" s="69"/>
    </row>
    <row r="22" spans="2:23" x14ac:dyDescent="0.25">
      <c r="B22">
        <v>55</v>
      </c>
      <c r="C22">
        <v>2400</v>
      </c>
      <c r="D22">
        <v>2.9</v>
      </c>
      <c r="T22" s="37"/>
      <c r="U22" s="37"/>
      <c r="V22" s="37"/>
      <c r="W22" s="37"/>
    </row>
    <row r="23" spans="2:23" x14ac:dyDescent="0.25">
      <c r="B23">
        <v>60</v>
      </c>
      <c r="C23">
        <v>3600</v>
      </c>
      <c r="D23">
        <v>3</v>
      </c>
    </row>
    <row r="24" spans="2:23" x14ac:dyDescent="0.25">
      <c r="B24">
        <v>65</v>
      </c>
      <c r="D24">
        <v>3.5</v>
      </c>
    </row>
    <row r="25" spans="2:23" x14ac:dyDescent="0.25">
      <c r="B25">
        <v>70</v>
      </c>
      <c r="D25">
        <v>4</v>
      </c>
      <c r="K25" s="67" t="s">
        <v>90</v>
      </c>
      <c r="L25" s="67"/>
      <c r="M25" s="67"/>
      <c r="N25" s="67"/>
    </row>
    <row r="26" spans="2:23" x14ac:dyDescent="0.25">
      <c r="B26">
        <v>75</v>
      </c>
      <c r="D26">
        <v>4.5</v>
      </c>
      <c r="K26" s="68" t="s">
        <v>87</v>
      </c>
      <c r="L26" s="68" t="s">
        <v>88</v>
      </c>
      <c r="M26" s="68" t="s">
        <v>89</v>
      </c>
      <c r="N26" s="68" t="s">
        <v>86</v>
      </c>
    </row>
    <row r="27" spans="2:23" x14ac:dyDescent="0.25">
      <c r="D27">
        <v>5</v>
      </c>
      <c r="J27" s="68" t="s">
        <v>118</v>
      </c>
      <c r="K27" s="68">
        <f>IF(ISBLANK('Power Calculator'!B13),"",0.25+14/('Power Calculator'!B13*60))</f>
        <v>0.27333333333333332</v>
      </c>
      <c r="L27" s="68">
        <f>IF(ISBLANK('Power Calculator'!B13),"",(0.25+14/('Power Calculator'!B13*60)))</f>
        <v>0.27333333333333332</v>
      </c>
      <c r="M27" s="68">
        <f>IF(ISBLANK('Power Calculator'!B13),"",(0.16+48/('Power Calculator'!B13*60)))</f>
        <v>0.24</v>
      </c>
      <c r="N27" s="68">
        <f>IF(ISBLANK('Power Calculator'!B13),"",(0.16+48/('Power Calculator'!B13*60)))</f>
        <v>0.24</v>
      </c>
    </row>
    <row r="28" spans="2:23" x14ac:dyDescent="0.25">
      <c r="D28">
        <v>5.5</v>
      </c>
      <c r="J28" s="68" t="s">
        <v>119</v>
      </c>
      <c r="K28" s="68">
        <f>IF(ISBLANK('Power Calculator'!B14),"",0.25+14/('Power Calculator'!B14*60))</f>
        <v>0.27333333333333332</v>
      </c>
      <c r="L28" s="68">
        <f>IF(ISBLANK('Power Calculator'!B14),"",(0.25+14/('Power Calculator'!B14*60)))</f>
        <v>0.27333333333333332</v>
      </c>
      <c r="M28" s="68">
        <f>IF(ISBLANK('Power Calculator'!B14),"",(0.16+48/('Power Calculator'!B14*60)))</f>
        <v>0.24</v>
      </c>
      <c r="N28" s="68">
        <f>IF(ISBLANK('Power Calculator'!B14),"",(0.16+48/('Power Calculator'!B14*60)))</f>
        <v>0.24</v>
      </c>
    </row>
    <row r="29" spans="2:23" x14ac:dyDescent="0.25">
      <c r="D29">
        <v>6</v>
      </c>
      <c r="J29" s="68" t="s">
        <v>120</v>
      </c>
      <c r="K29" s="68" t="str">
        <f>IF(ISBLANK('Power Calculator'!B15),"",0.25+14/('Power Calculator'!B15*60))</f>
        <v/>
      </c>
      <c r="L29" s="68" t="str">
        <f>IF(ISBLANK('Power Calculator'!B15),"",(0.25+14/('Power Calculator'!B15*60)))</f>
        <v/>
      </c>
      <c r="M29" s="68" t="str">
        <f>IF(ISBLANK('Power Calculator'!B15),"",(0.16+48/('Power Calculator'!B15*60)))</f>
        <v/>
      </c>
      <c r="N29" s="68" t="str">
        <f>IF(ISBLANK('Power Calculator'!B15),"",(0.16+48/('Power Calculator'!B15*60)))</f>
        <v/>
      </c>
    </row>
    <row r="30" spans="2:23" x14ac:dyDescent="0.25">
      <c r="D30">
        <v>6.5</v>
      </c>
      <c r="J30" s="68" t="s">
        <v>121</v>
      </c>
      <c r="K30" s="68" t="str">
        <f>IF(ISBLANK('Power Calculator'!B16),"",0.25+14/('Power Calculator'!B16*60))</f>
        <v/>
      </c>
      <c r="L30" s="68" t="str">
        <f>IF(ISBLANK('Power Calculator'!B16),"",(0.25+14/('Power Calculator'!B16*60)))</f>
        <v/>
      </c>
      <c r="M30" s="68" t="str">
        <f>IF(ISBLANK('Power Calculator'!B16),"",(0.16+48/('Power Calculator'!B16*60)))</f>
        <v/>
      </c>
      <c r="N30" s="68" t="str">
        <f>IF(ISBLANK('Power Calculator'!B16),"",(0.16+48/('Power Calculator'!B16*60)))</f>
        <v/>
      </c>
    </row>
    <row r="31" spans="2:23" x14ac:dyDescent="0.25">
      <c r="D31">
        <v>7</v>
      </c>
      <c r="J31" s="68" t="s">
        <v>122</v>
      </c>
      <c r="K31" s="68" t="str">
        <f>IF(ISBLANK('Power Calculator'!B17),"",0.25+14/('Power Calculator'!B17*60))</f>
        <v/>
      </c>
      <c r="L31" s="68" t="str">
        <f>IF(ISBLANK('Power Calculator'!B17),"",(0.25+14/('Power Calculator'!B17*60)))</f>
        <v/>
      </c>
      <c r="M31" s="68" t="str">
        <f>IF(ISBLANK('Power Calculator'!B17),"",(0.16+48/('Power Calculator'!B17*60)))</f>
        <v/>
      </c>
      <c r="N31" s="68" t="str">
        <f>IF(ISBLANK('Power Calculator'!B17),"",(0.16+48/('Power Calculator'!B17*60)))</f>
        <v/>
      </c>
    </row>
    <row r="32" spans="2:23" ht="15.75" thickBot="1" x14ac:dyDescent="0.3">
      <c r="D32">
        <v>7.5</v>
      </c>
    </row>
    <row r="33" spans="4:23" ht="15.75" thickBot="1" x14ac:dyDescent="0.3">
      <c r="D33">
        <v>8</v>
      </c>
      <c r="E33">
        <f>30*60</f>
        <v>1800</v>
      </c>
      <c r="L33" s="174" t="s">
        <v>124</v>
      </c>
      <c r="M33" s="175"/>
      <c r="N33" s="176"/>
      <c r="O33" s="174" t="s">
        <v>107</v>
      </c>
      <c r="P33" s="175"/>
      <c r="Q33" s="176"/>
      <c r="R33" s="174" t="s">
        <v>112</v>
      </c>
      <c r="S33" s="177"/>
      <c r="T33" s="177"/>
      <c r="U33" s="3" t="s">
        <v>130</v>
      </c>
    </row>
    <row r="34" spans="4:23" ht="45.75" thickBot="1" x14ac:dyDescent="0.3">
      <c r="D34">
        <v>8.5</v>
      </c>
      <c r="G34" s="59" t="s">
        <v>115</v>
      </c>
      <c r="H34" s="60" t="s">
        <v>123</v>
      </c>
      <c r="I34" s="60" t="s">
        <v>116</v>
      </c>
      <c r="J34" s="60" t="s">
        <v>97</v>
      </c>
      <c r="K34" s="60" t="s">
        <v>99</v>
      </c>
      <c r="L34" s="60" t="s">
        <v>100</v>
      </c>
      <c r="M34" s="60" t="s">
        <v>102</v>
      </c>
      <c r="N34" s="60" t="s">
        <v>104</v>
      </c>
      <c r="O34" s="60" t="s">
        <v>100</v>
      </c>
      <c r="P34" s="60" t="s">
        <v>102</v>
      </c>
      <c r="Q34" s="60" t="s">
        <v>104</v>
      </c>
      <c r="R34" s="60" t="s">
        <v>100</v>
      </c>
      <c r="S34" s="60" t="s">
        <v>102</v>
      </c>
      <c r="T34" s="70" t="s">
        <v>104</v>
      </c>
      <c r="U34" s="74" t="s">
        <v>100</v>
      </c>
      <c r="V34" s="76"/>
      <c r="W34" s="76"/>
    </row>
    <row r="35" spans="4:23" ht="15.75" thickBot="1" x14ac:dyDescent="0.3">
      <c r="D35">
        <v>9</v>
      </c>
      <c r="F35" s="52" t="s">
        <v>118</v>
      </c>
      <c r="G35" s="61">
        <f>VLOOKUP('Power Calculator'!X13,Lists!J4:K5,2)</f>
        <v>4</v>
      </c>
      <c r="H35" s="62">
        <f>VLOOKUP('Power Calculator'!Z13,Lists!N4:O8,2)</f>
        <v>0</v>
      </c>
      <c r="I35" s="76">
        <f>IF(V35=0,0,IF(V35="s",W35*1,W35*60))</f>
        <v>2</v>
      </c>
      <c r="J35" s="63">
        <f>IF(ISBLANK('Power Calculator'!B13),"",(H35/(G35*'Power Calculator'!B13*60)))</f>
        <v>0</v>
      </c>
      <c r="K35" s="66">
        <f>IF(ISBLANK('Power Calculator'!B13),"",I35/('Power Calculator'!B13*60))</f>
        <v>3.3333333333333335E-3</v>
      </c>
      <c r="L35" s="63">
        <f>IF(ISBLANK('Power Calculator'!B13),"",(IF(J35&lt;=1,0.4+(2.2/('Power Calculator'!B13*60))*Lists!H35,IF(AND(Lists!J35&gt;1,Lists!G35=2),4.64+6.5/('Power Calculator'!B13*60),IF(AND(Lists!J35&gt;1,Lists!G35=4),9.2+5/('Power Calculator'!B13*60))))))</f>
        <v>0.4</v>
      </c>
      <c r="M35" s="63">
        <f>IF(J35&lt;=1,0.4+(2.5/'Power Calculator'!B13)*H35,IF(AND(J35&gt;1,G35=2),5.5+28/'Power Calculator'!B13,IF(AND(J35&gt;1,G35=4),10+28/'Power Calculator'!B13)))</f>
        <v>0.4</v>
      </c>
      <c r="N35" s="63">
        <f>IF(J35&lt;=1,1.1+(2.4/'Power Calculator'!B13)*H35,IF(AND(J35&gt;1,G35=2),5.5+28/'Power Calculator'!B13,IF(AND(J35&gt;1,G35=4),10+28/'Power Calculator'!B13)))</f>
        <v>1.1000000000000001</v>
      </c>
      <c r="O35" s="63">
        <f>IF(ISBLANK('Power Calculator'!B13),"",(IF(K35&lt;=1,0.4+(2.2*G35*K35),IF(AND(K35&gt;1,G35=2),4.65+1.5/('Power Calculator'!B13*60),IF(AND(Lists!K35&gt;1,Lists!G35=4),9.2+1.5/('Power Calculator'!B13*60))))))</f>
        <v>0.42933333333333334</v>
      </c>
      <c r="P35" s="63">
        <f>IF(K35&lt;=1,0.4+2.5*G35*K35,IF(AND(K35&gt;1,G35=2),5.5+13/'Power Calculator'!B13,IF(AND(Lists!K35&gt;1,Lists!G35=4),10+13/'Power Calculator'!B13)))</f>
        <v>0.43333333333333335</v>
      </c>
      <c r="Q35" s="63">
        <f>IF(K35&lt;=1,1.1+2.4*G35*K35,IF(AND(K35&gt;1,G35=2),5.5+13/'Power Calculator'!B13,IF(AND(Lists!K35&gt;1,Lists!G35=4),10+13/'Power Calculator'!B13)))</f>
        <v>1.1320000000000001</v>
      </c>
      <c r="R35" s="63">
        <f>IF(ISBLANK('Power Calculator'!B13),"",(0.4+5.4/('Power Calculator'!B13*60)))</f>
        <v>0.40900000000000003</v>
      </c>
      <c r="S35" s="63">
        <f>0.4+24/'Power Calculator'!B13</f>
        <v>2.8</v>
      </c>
      <c r="T35" s="71">
        <f>1.1+22/'Power Calculator'!B13</f>
        <v>3.3000000000000003</v>
      </c>
      <c r="U35" s="67">
        <f>IF(AND(H35=0,I35=0),R35,IF(OR(O35&gt;L35,H35=0),O35,L35))</f>
        <v>0.42933333333333334</v>
      </c>
      <c r="V35" s="76" t="str">
        <f>IF('Power Calculator'!Y13="No Tide!",0,RIGHT('Power Calculator'!Y13,1))</f>
        <v>s</v>
      </c>
      <c r="W35" s="76" t="str">
        <f>IF('Power Calculator'!Y13="No Tide!",0,LEFT('Power Calculator'!Y13,1))</f>
        <v>2</v>
      </c>
    </row>
    <row r="36" spans="4:23" ht="15.75" thickBot="1" x14ac:dyDescent="0.3">
      <c r="D36">
        <v>9.5</v>
      </c>
      <c r="F36" s="53" t="s">
        <v>119</v>
      </c>
      <c r="G36" s="57">
        <f>VLOOKUP('Power Calculator'!X14,Lists!J4:K5,2)</f>
        <v>4</v>
      </c>
      <c r="H36" s="55">
        <f>VLOOKUP('Power Calculator'!Z14,Lists!N4:O8,2)</f>
        <v>2048</v>
      </c>
      <c r="I36" s="76">
        <f t="shared" ref="I36:I39" si="0">IF(V36=0,0,IF(V36="s",W36*1,W36*60))</f>
        <v>2</v>
      </c>
      <c r="J36" s="63">
        <f>IF(ISBLANK('Power Calculator'!B14),"",(H36/(G36*'Power Calculator'!B14*60)))</f>
        <v>0.85333333333333339</v>
      </c>
      <c r="K36" s="66">
        <f>IF(ISBLANK('Power Calculator'!B14),"",I36/('Power Calculator'!B14*60))</f>
        <v>3.3333333333333335E-3</v>
      </c>
      <c r="L36" s="63">
        <f>IF(ISBLANK('Power Calculator'!B14),"",(IF(J36&lt;=1,0.4+(2.2/('Power Calculator'!B14*60))*Lists!H36,IF(AND(Lists!J36&gt;1,Lists!G36=2),4.64+6.5/('Power Calculator'!B14*60),IF(AND(Lists!J36&gt;1,Lists!G36=4),9.2+5/('Power Calculator'!B14*60))))))</f>
        <v>7.9093333333333344</v>
      </c>
      <c r="M36" s="45">
        <f>IF(J36&lt;=1,0.4+(2.5/'Power Calculator'!B14)*H36,IF(AND(J36&gt;1,G36=2),5.5+28/'Power Calculator'!B14,IF(AND(J36&gt;1,G36=4),10+28/'Power Calculator'!B14)))</f>
        <v>512.4</v>
      </c>
      <c r="N36" s="45">
        <f>IF(J36&lt;=1,1.1+(2.4/'Power Calculator'!B14)*H36,IF(AND(J36&gt;1,G36=2),5.5+28/'Power Calculator'!B14,IF(AND(J36&gt;1,G36=4),10+28/'Power Calculator'!B14)))</f>
        <v>492.62</v>
      </c>
      <c r="O36" s="63">
        <f>IF(ISBLANK('Power Calculator'!B14),"",(IF(K36&lt;=1,0.4+(2.2*G36*K36),IF(AND(K36&gt;1,G36=2),4.65+1.5/('Power Calculator'!B14*60),IF(AND(Lists!K36&gt;1,Lists!G36=4),9.2+1.5/('Power Calculator'!B14*60))))))</f>
        <v>0.42933333333333334</v>
      </c>
      <c r="P36" s="45">
        <f>IF(K36&lt;=1,0.4+2.5*G36*K36,IF(AND(K36&gt;1,G36=2),5.5+13/'Power Calculator'!B14,IF(AND(Lists!K36&gt;1,Lists!G36=4),10+13/'Power Calculator'!B14)))</f>
        <v>0.43333333333333335</v>
      </c>
      <c r="Q36" s="45">
        <f>IF(K36&lt;=1,1.1+2.4*G36*K36,IF(AND(K36&gt;1,G36=2),5.5+13/'Power Calculator'!B14,IF(AND(Lists!K36&gt;1,Lists!G36=4),10+13/'Power Calculator'!B14)))</f>
        <v>1.1320000000000001</v>
      </c>
      <c r="R36" s="63">
        <f>IF(ISBLANK('Power Calculator'!B14),"",(0.4+5.4/('Power Calculator'!B14*60)))</f>
        <v>0.40900000000000003</v>
      </c>
      <c r="S36" s="45">
        <f>0.4+24/'Power Calculator'!B14</f>
        <v>2.8</v>
      </c>
      <c r="T36" s="72">
        <f>1.1+22/'Power Calculator'!B14</f>
        <v>3.3000000000000003</v>
      </c>
      <c r="U36" s="67">
        <f>IF(AND(H36=0,I36=0),R36,IF(OR(O36&gt;L36,H36=0),O36,L36))</f>
        <v>7.9093333333333344</v>
      </c>
      <c r="V36" s="76" t="str">
        <f>IF('Power Calculator'!Y14="No Tide!",0,RIGHT('Power Calculator'!Y14,1))</f>
        <v>s</v>
      </c>
      <c r="W36" s="76" t="str">
        <f>IF('Power Calculator'!Y14="No Tide!",0,LEFT('Power Calculator'!Y14,1))</f>
        <v>2</v>
      </c>
    </row>
    <row r="37" spans="4:23" ht="15.75" thickBot="1" x14ac:dyDescent="0.3">
      <c r="D37">
        <v>10</v>
      </c>
      <c r="F37" s="53" t="s">
        <v>120</v>
      </c>
      <c r="G37" s="57" t="e">
        <f>VLOOKUP('Power Calculator'!X15,Lists!J4:K5,2)</f>
        <v>#N/A</v>
      </c>
      <c r="H37" s="55" t="e">
        <f>VLOOKUP('Power Calculator'!Z15,Lists!N4:O8,2)</f>
        <v>#N/A</v>
      </c>
      <c r="I37" s="76" t="e">
        <f t="shared" si="0"/>
        <v>#VALUE!</v>
      </c>
      <c r="J37" s="63" t="str">
        <f>IF(ISBLANK('Power Calculator'!B15),"",(H37/(G37*'Power Calculator'!B15*60)))</f>
        <v/>
      </c>
      <c r="K37" s="66" t="str">
        <f>IF(ISBLANK('Power Calculator'!B15),"",I37/('Power Calculator'!B15*60))</f>
        <v/>
      </c>
      <c r="L37" s="63" t="str">
        <f>IF(ISBLANK('Power Calculator'!B15),"",(IF(J37&lt;=1,0.4+(2.2/('Power Calculator'!B15*60))*Lists!H37,IF(AND(Lists!J37&gt;1,Lists!G37=2),4.64+6.5/('Power Calculator'!B15*60),IF(AND(Lists!J37&gt;1,Lists!G37=4),9.2+5/('Power Calculator'!B15*60))))))</f>
        <v/>
      </c>
      <c r="M37" s="45" t="e">
        <f>IF(J37&lt;=1,0.4+(2.5/'Power Calculator'!B15)*H37,IF(AND(J37&gt;1,G37=2),5.5+28/'Power Calculator'!B15,IF(AND(J37&gt;1,G37=4),10+28/'Power Calculator'!B15)))</f>
        <v>#N/A</v>
      </c>
      <c r="N37" s="45" t="e">
        <f>IF(J37&lt;=1,1.1+(2.4/'Power Calculator'!B15)*H37,IF(AND(J37&gt;1,G37=2),5.5+28/'Power Calculator'!B15,IF(AND(J37&gt;1,G37=4),10+28/'Power Calculator'!B15)))</f>
        <v>#N/A</v>
      </c>
      <c r="O37" s="63" t="str">
        <f>IF(ISBLANK('Power Calculator'!B15),"",(IF(K37&lt;=1,0.4+(2.2*G37*K37),IF(AND(K37&gt;1,G37=2),4.65+1.5/('Power Calculator'!B15*60),IF(AND(Lists!K37&gt;1,Lists!G37=4),9.2+1.5/('Power Calculator'!B15*60))))))</f>
        <v/>
      </c>
      <c r="P37" s="45" t="e">
        <f>IF(K37&lt;=1,0.4+2.5*G37*K37,IF(AND(K37&gt;1,G37=2),5.5+13/'Power Calculator'!B15,IF(AND(Lists!K37&gt;1,Lists!G37=4),10+13/'Power Calculator'!B15)))</f>
        <v>#N/A</v>
      </c>
      <c r="Q37" s="45" t="e">
        <f>IF(K37&lt;=1,1.1+2.4*G37*K37,IF(AND(K37&gt;1,G37=2),5.5+13/'Power Calculator'!B15,IF(AND(Lists!K37&gt;1,Lists!G37=4),10+13/'Power Calculator'!B15)))</f>
        <v>#N/A</v>
      </c>
      <c r="R37" s="63" t="str">
        <f>IF(ISBLANK('Power Calculator'!B15),"",(0.4+5.4/('Power Calculator'!B15*60)))</f>
        <v/>
      </c>
      <c r="S37" s="45" t="e">
        <f>0.4+24/'Power Calculator'!B15</f>
        <v>#DIV/0!</v>
      </c>
      <c r="T37" s="72" t="e">
        <f>1.1+22/'Power Calculator'!B15</f>
        <v>#DIV/0!</v>
      </c>
      <c r="U37" s="67" t="e">
        <f>IF(AND(H37=0,I37=0),R37,IF(OR(O37&gt;L37,H37=0),O37,L37))</f>
        <v>#N/A</v>
      </c>
      <c r="V37" s="76" t="str">
        <f>IF('Power Calculator'!Y15="No Tide!",0,RIGHT('Power Calculator'!Y15,1))</f>
        <v/>
      </c>
      <c r="W37" s="76" t="str">
        <f>IF('Power Calculator'!Y15="No Tide!",0,LEFT('Power Calculator'!Y15,1))</f>
        <v/>
      </c>
    </row>
    <row r="38" spans="4:23" ht="15.75" thickBot="1" x14ac:dyDescent="0.3">
      <c r="D38">
        <v>11</v>
      </c>
      <c r="F38" s="53" t="s">
        <v>121</v>
      </c>
      <c r="G38" s="57" t="e">
        <f>VLOOKUP('Power Calculator'!X16,J4:K5,2)</f>
        <v>#N/A</v>
      </c>
      <c r="H38" s="55" t="e">
        <f>VLOOKUP('Power Calculator'!Z16,Lists!N4:O8,2)</f>
        <v>#N/A</v>
      </c>
      <c r="I38" s="76" t="e">
        <f t="shared" si="0"/>
        <v>#VALUE!</v>
      </c>
      <c r="J38" s="63" t="str">
        <f>IF(ISBLANK('Power Calculator'!B16),"",(H38/(G38*'Power Calculator'!B16*60)))</f>
        <v/>
      </c>
      <c r="K38" s="66" t="str">
        <f>IF(ISBLANK('Power Calculator'!B16),"",I38/('Power Calculator'!B16*60))</f>
        <v/>
      </c>
      <c r="L38" s="63" t="str">
        <f>IF(ISBLANK('Power Calculator'!B16),"",(IF(J38&lt;=1,0.4+(2.2/('Power Calculator'!B16*60))*Lists!H38,IF(AND(Lists!J38&gt;1,Lists!G38=2),4.64+6.5/('Power Calculator'!B16*60),IF(AND(Lists!J38&gt;1,Lists!G38=4),9.2+5/('Power Calculator'!B16*60))))))</f>
        <v/>
      </c>
      <c r="M38" s="45" t="e">
        <f>IF(J38&lt;=1,0.4+(2.5/'Power Calculator'!B16)*H38,IF(AND(J38&gt;1,G38=2),5.5+28/'Power Calculator'!B16,IF(AND(J38&gt;1,G38=4),10+28/'Power Calculator'!B16)))</f>
        <v>#N/A</v>
      </c>
      <c r="N38" s="45" t="e">
        <f>IF(J38&lt;=1,1.1+(2.4/'Power Calculator'!B16)*H38,IF(AND(J38&gt;1,G38=2),5.5+28/'Power Calculator'!B16,IF(AND(J38&gt;1,G38=4),10+28/'Power Calculator'!B16)))</f>
        <v>#N/A</v>
      </c>
      <c r="O38" s="63" t="str">
        <f>IF(ISBLANK('Power Calculator'!B16),"",(IF(K38&lt;=1,0.4+(2.2*G38*K38),IF(AND(K38&gt;1,G38=2),4.65+1.5/('Power Calculator'!B16*60),IF(AND(Lists!K38&gt;1,Lists!G38=4),9.2+1.5/('Power Calculator'!B16*60))))))</f>
        <v/>
      </c>
      <c r="P38" s="45" t="e">
        <f>IF(K38&lt;=1,0.4+2.5*G38*K38,IF(AND(K38&gt;1,G38=2),5.5+13/'Power Calculator'!B16,IF(AND(Lists!K38&gt;1,Lists!G38=4),10+13/'Power Calculator'!B16)))</f>
        <v>#N/A</v>
      </c>
      <c r="Q38" s="45" t="e">
        <f>IF(K38&lt;=1,1.1+2.4*G38*K38,IF(AND(K38&gt;1,G38=2),5.5+13/'Power Calculator'!B16,IF(AND(Lists!K38&gt;1,Lists!G38=4),10+13/'Power Calculator'!B16)))</f>
        <v>#N/A</v>
      </c>
      <c r="R38" s="63" t="str">
        <f>IF(ISBLANK('Power Calculator'!B16),"",(0.4+5.4/('Power Calculator'!B16*60)))</f>
        <v/>
      </c>
      <c r="S38" s="45" t="e">
        <f>0.4+24/'Power Calculator'!B16</f>
        <v>#DIV/0!</v>
      </c>
      <c r="T38" s="72" t="e">
        <f>1.1+22/'Power Calculator'!B16</f>
        <v>#DIV/0!</v>
      </c>
      <c r="U38" s="67" t="e">
        <f>IF(AND(H38=0,I38=0),R38,IF(OR(O38&gt;L38,H38=0),O38,L38))</f>
        <v>#N/A</v>
      </c>
      <c r="V38" s="76" t="str">
        <f>IF('Power Calculator'!Y16="No Tide!",0,RIGHT('Power Calculator'!Y16,1))</f>
        <v/>
      </c>
      <c r="W38" s="76" t="str">
        <f>IF('Power Calculator'!Y16="No Tide!",0,LEFT('Power Calculator'!Y16,1))</f>
        <v/>
      </c>
    </row>
    <row r="39" spans="4:23" ht="15.75" thickBot="1" x14ac:dyDescent="0.3">
      <c r="D39">
        <v>12</v>
      </c>
      <c r="F39" s="54" t="s">
        <v>122</v>
      </c>
      <c r="G39" s="58" t="e">
        <f>VLOOKUP('Power Calculator'!X17,J4:K5,2)</f>
        <v>#N/A</v>
      </c>
      <c r="H39" s="56" t="e">
        <f>VLOOKUP('Power Calculator'!Z17,Lists!N4:O8,2)</f>
        <v>#N/A</v>
      </c>
      <c r="I39" s="76" t="e">
        <f t="shared" si="0"/>
        <v>#VALUE!</v>
      </c>
      <c r="J39" s="63" t="str">
        <f>IF(ISBLANK('Power Calculator'!B17),"",(H39/(G39*'Power Calculator'!B17*60)))</f>
        <v/>
      </c>
      <c r="K39" s="66" t="str">
        <f>IF(ISBLANK('Power Calculator'!B17),"",I39/('Power Calculator'!B17*60))</f>
        <v/>
      </c>
      <c r="L39" s="63" t="str">
        <f>IF(ISBLANK('Power Calculator'!B17),"",(IF(J39&lt;=1,0.4+(2.2/('Power Calculator'!B17*60))*Lists!H39,IF(AND(Lists!J39&gt;1,Lists!G39=2),4.64+6.5/('Power Calculator'!B17*60),IF(AND(Lists!J39&gt;1,Lists!G39=4),9.2+5/('Power Calculator'!B17*60))))))</f>
        <v/>
      </c>
      <c r="M39" s="46" t="e">
        <f>IF(J39&lt;=1,0.4+(2.5/'Power Calculator'!B17)*H39,IF(AND(J39&gt;1,G39=2),5.5+28/'Power Calculator'!B17,IF(AND(J39&gt;1,G39=4),10+28/'Power Calculator'!B17)))</f>
        <v>#N/A</v>
      </c>
      <c r="N39" s="46" t="e">
        <f>IF(J39&lt;=1,1.1+(2.4/'Power Calculator'!B17)*H39,IF(AND(J39&gt;1,G39=2),5.5+28/'Power Calculator'!B17,IF(AND(J39&gt;1,G39=4),10+28/'Power Calculator'!B17)))</f>
        <v>#N/A</v>
      </c>
      <c r="O39" s="63" t="str">
        <f>IF(ISBLANK('Power Calculator'!B17),"",(IF(K39&lt;=1,0.4+(2.2*G39*K39),IF(AND(K39&gt;1,G39=2),4.65+1.5/('Power Calculator'!B17*60),IF(AND(Lists!K39&gt;1,Lists!G39=4),9.2+1.5/('Power Calculator'!B17*60))))))</f>
        <v/>
      </c>
      <c r="P39" s="46" t="e">
        <f>IF(K39&lt;=1,0.4+2.5*G39*K39,IF(AND(K39&gt;1,G39=2),5.5+13/'Power Calculator'!B17,IF(AND(Lists!K39&gt;1,Lists!G39=4),10+13/'Power Calculator'!B17)))</f>
        <v>#N/A</v>
      </c>
      <c r="Q39" s="46" t="e">
        <f>IF(K39&lt;=1,1.1+2.4*G39*K39,IF(AND(K39&gt;1,G39=2),5.5+13/'Power Calculator'!B17,IF(AND(Lists!K39&gt;1,Lists!G39=4),10+13/'Power Calculator'!B17)))</f>
        <v>#N/A</v>
      </c>
      <c r="R39" s="63" t="str">
        <f>IF(ISBLANK('Power Calculator'!B17),"",(0.4+5.4/('Power Calculator'!B17*60)))</f>
        <v/>
      </c>
      <c r="S39" s="46" t="e">
        <f>0.4+24/'Power Calculator'!B17</f>
        <v>#DIV/0!</v>
      </c>
      <c r="T39" s="73" t="e">
        <f>1.1+22/'Power Calculator'!B17</f>
        <v>#DIV/0!</v>
      </c>
      <c r="U39" s="67" t="e">
        <f t="shared" ref="U39" si="1">IF(AND(H39=0,I39=0),R39,IF(OR(O39&gt;L39,H39=0),O39,L39))</f>
        <v>#N/A</v>
      </c>
      <c r="V39" s="76" t="str">
        <f>IF('Power Calculator'!Y17="No Tide!",0,RIGHT('Power Calculator'!Y17,1))</f>
        <v/>
      </c>
      <c r="W39" s="76" t="str">
        <f>IF('Power Calculator'!Y17="No Tide!",0,LEFT('Power Calculator'!Y17,1))</f>
        <v/>
      </c>
    </row>
    <row r="40" spans="4:23" x14ac:dyDescent="0.25">
      <c r="D40">
        <v>13</v>
      </c>
      <c r="V40" t="str">
        <f>IF('Power Calculator'!Y18="No Tide!",0,RIGHT('Power Calculator'!Y18,1))</f>
        <v/>
      </c>
      <c r="W40" t="str">
        <f>IF('Power Calculator'!Y18="No Tide!",0,LEFT('Power Calculator'!Y18,1))</f>
        <v/>
      </c>
    </row>
    <row r="41" spans="4:23" x14ac:dyDescent="0.25">
      <c r="D41">
        <v>14</v>
      </c>
      <c r="V41" t="str">
        <f>IF('Power Calculator'!Y19="No Tide!",0,RIGHT('Power Calculator'!Y19,1))</f>
        <v/>
      </c>
      <c r="W41" t="str">
        <f>IF('Power Calculator'!Y19="No Tide!",0,LEFT('Power Calculator'!Y19,1))</f>
        <v/>
      </c>
    </row>
    <row r="42" spans="4:23" x14ac:dyDescent="0.25">
      <c r="D42">
        <v>15</v>
      </c>
      <c r="J42" s="64"/>
      <c r="K42" s="64"/>
      <c r="L42" s="65"/>
      <c r="M42" s="64"/>
      <c r="N42" s="64"/>
      <c r="O42" s="64"/>
      <c r="P42" s="64"/>
      <c r="Q42" s="64"/>
      <c r="R42" s="64"/>
      <c r="S42" s="64"/>
      <c r="T42" s="64"/>
      <c r="V42" t="str">
        <f>IF('Power Calculator'!Y20="No Tide!",0,RIGHT('Power Calculator'!Y20,1))</f>
        <v/>
      </c>
      <c r="W42" t="str">
        <f>IF('Power Calculator'!Y20="No Tide!",0,LEFT('Power Calculator'!Y20,1))</f>
        <v/>
      </c>
    </row>
    <row r="43" spans="4:23" x14ac:dyDescent="0.25">
      <c r="D43">
        <v>16</v>
      </c>
      <c r="J43" s="64"/>
      <c r="K43" s="64"/>
      <c r="L43" s="65"/>
      <c r="M43" s="64"/>
      <c r="N43" s="64"/>
      <c r="O43" s="64"/>
      <c r="P43" s="64"/>
      <c r="Q43" s="64"/>
      <c r="R43" s="64"/>
      <c r="S43" s="64"/>
      <c r="T43" s="64"/>
      <c r="V43" t="str">
        <f>IF('Power Calculator'!Y21="No Tide!",0,RIGHT('Power Calculator'!Y21,1))</f>
        <v/>
      </c>
      <c r="W43" t="str">
        <f>IF('Power Calculator'!Y21="No Tide!",0,LEFT('Power Calculator'!Y21,1))</f>
        <v/>
      </c>
    </row>
    <row r="44" spans="4:23" x14ac:dyDescent="0.25">
      <c r="D44">
        <v>17</v>
      </c>
      <c r="J44" s="64"/>
      <c r="K44" s="64"/>
      <c r="L44" s="65"/>
      <c r="M44" s="64"/>
      <c r="N44" s="64"/>
      <c r="O44" s="64"/>
      <c r="P44" s="64"/>
      <c r="Q44" s="64"/>
      <c r="R44" s="64"/>
      <c r="S44" s="64"/>
      <c r="T44" s="64"/>
      <c r="V44" t="str">
        <f>IF('Power Calculator'!Y22="No Tide!",0,RIGHT('Power Calculator'!Y22,1))</f>
        <v/>
      </c>
      <c r="W44" t="str">
        <f>IF('Power Calculator'!Y22="No Tide!",0,LEFT('Power Calculator'!Y22,1))</f>
        <v/>
      </c>
    </row>
    <row r="45" spans="4:23" x14ac:dyDescent="0.25">
      <c r="D45">
        <v>18</v>
      </c>
      <c r="J45" s="64"/>
      <c r="K45" s="64"/>
      <c r="L45" s="65"/>
      <c r="M45" s="64"/>
      <c r="N45" s="64"/>
      <c r="O45" s="64"/>
      <c r="P45" s="64"/>
      <c r="Q45" s="64"/>
      <c r="R45" s="64"/>
      <c r="S45" s="64"/>
      <c r="T45" s="64"/>
      <c r="V45" t="str">
        <f>IF('Power Calculator'!Y23="No Tide!",0,RIGHT('Power Calculator'!Y23,1))</f>
        <v/>
      </c>
      <c r="W45" t="str">
        <f>IF('Power Calculator'!Y23="No Tide!",0,LEFT('Power Calculator'!Y23,1))</f>
        <v/>
      </c>
    </row>
    <row r="46" spans="4:23" x14ac:dyDescent="0.25">
      <c r="D46">
        <v>19</v>
      </c>
      <c r="J46" s="64"/>
      <c r="K46" s="64"/>
      <c r="L46" s="65"/>
      <c r="M46" s="64"/>
      <c r="N46" s="64"/>
      <c r="O46" s="64"/>
      <c r="P46" s="64"/>
      <c r="Q46" s="64"/>
      <c r="R46" s="64"/>
      <c r="S46" s="64"/>
      <c r="T46" s="64"/>
      <c r="V46" t="str">
        <f>IF('Power Calculator'!Y24="No Tide!",0,RIGHT('Power Calculator'!Y24,1))</f>
        <v/>
      </c>
      <c r="W46" t="str">
        <f>IF('Power Calculator'!Y24="No Tide!",0,LEFT('Power Calculator'!Y24,1))</f>
        <v/>
      </c>
    </row>
    <row r="47" spans="4:23" x14ac:dyDescent="0.25">
      <c r="D47">
        <v>20</v>
      </c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V47" t="str">
        <f>IF('Power Calculator'!Y25="No Tide!",0,RIGHT('Power Calculator'!Y25,1))</f>
        <v/>
      </c>
      <c r="W47" t="str">
        <f>IF('Power Calculator'!Y25="No Tide!",0,LEFT('Power Calculator'!Y25,1))</f>
        <v/>
      </c>
    </row>
    <row r="48" spans="4:23" x14ac:dyDescent="0.25">
      <c r="D48">
        <v>22</v>
      </c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V48" t="str">
        <f>IF('Power Calculator'!Y26="No Tide!",0,RIGHT('Power Calculator'!Y26,1))</f>
        <v/>
      </c>
      <c r="W48" t="str">
        <f>IF('Power Calculator'!Y26="No Tide!",0,LEFT('Power Calculator'!Y26,1))</f>
        <v/>
      </c>
    </row>
    <row r="49" spans="4:23" x14ac:dyDescent="0.25">
      <c r="D49">
        <v>24</v>
      </c>
      <c r="V49" t="str">
        <f>IF('Power Calculator'!Y27="No Tide!",0,RIGHT('Power Calculator'!Y27,1))</f>
        <v/>
      </c>
      <c r="W49" t="str">
        <f>IF('Power Calculator'!Y27="No Tide!",0,LEFT('Power Calculator'!Y27,1))</f>
        <v/>
      </c>
    </row>
    <row r="50" spans="4:23" x14ac:dyDescent="0.25">
      <c r="D50">
        <v>26</v>
      </c>
      <c r="V50" t="str">
        <f>IF('Power Calculator'!Y28="No Tide!",0,RIGHT('Power Calculator'!Y28,1))</f>
        <v/>
      </c>
      <c r="W50" t="str">
        <f>IF('Power Calculator'!Y28="No Tide!",0,LEFT('Power Calculator'!Y28,1))</f>
        <v/>
      </c>
    </row>
    <row r="51" spans="4:23" x14ac:dyDescent="0.25">
      <c r="D51">
        <v>28</v>
      </c>
      <c r="V51" t="str">
        <f>IF('Power Calculator'!Y29="No Tide!",0,RIGHT('Power Calculator'!Y29,1))</f>
        <v/>
      </c>
      <c r="W51" t="str">
        <f>IF('Power Calculator'!Y29="No Tide!",0,LEFT('Power Calculator'!Y29,1))</f>
        <v/>
      </c>
    </row>
    <row r="52" spans="4:23" x14ac:dyDescent="0.25">
      <c r="D52">
        <v>30</v>
      </c>
      <c r="V52" t="str">
        <f>IF('Power Calculator'!Y30="No Tide!",0,RIGHT('Power Calculator'!Y30,1))</f>
        <v/>
      </c>
      <c r="W52" t="str">
        <f>IF('Power Calculator'!Y30="No Tide!",0,LEFT('Power Calculator'!Y30,1))</f>
        <v/>
      </c>
    </row>
    <row r="53" spans="4:23" x14ac:dyDescent="0.25">
      <c r="D53">
        <v>32</v>
      </c>
      <c r="V53" t="str">
        <f>IF('Power Calculator'!Y31="No Tide!",0,RIGHT('Power Calculator'!Y31,1))</f>
        <v/>
      </c>
      <c r="W53" t="str">
        <f>IF('Power Calculator'!Y31="No Tide!",0,LEFT('Power Calculator'!Y31,1))</f>
        <v/>
      </c>
    </row>
    <row r="54" spans="4:23" x14ac:dyDescent="0.25">
      <c r="D54">
        <v>34</v>
      </c>
      <c r="V54" t="str">
        <f>IF('Power Calculator'!Y32="No Tide!",0,RIGHT('Power Calculator'!Y32,1))</f>
        <v/>
      </c>
      <c r="W54" t="str">
        <f>IF('Power Calculator'!Y32="No Tide!",0,LEFT('Power Calculator'!Y32,1))</f>
        <v/>
      </c>
    </row>
    <row r="55" spans="4:23" x14ac:dyDescent="0.25">
      <c r="D55">
        <v>36</v>
      </c>
      <c r="V55" t="str">
        <f>IF('Power Calculator'!Y33="No Tide!",0,RIGHT('Power Calculator'!Y33,1))</f>
        <v/>
      </c>
      <c r="W55" t="str">
        <f>IF('Power Calculator'!Y33="No Tide!",0,LEFT('Power Calculator'!Y33,1))</f>
        <v/>
      </c>
    </row>
    <row r="56" spans="4:23" x14ac:dyDescent="0.25">
      <c r="D56">
        <v>38</v>
      </c>
      <c r="V56" t="str">
        <f>IF('Power Calculator'!Y34="No Tide!",0,RIGHT('Power Calculator'!Y34,1))</f>
        <v/>
      </c>
      <c r="W56" t="str">
        <f>IF('Power Calculator'!Y34="No Tide!",0,LEFT('Power Calculator'!Y34,1))</f>
        <v/>
      </c>
    </row>
    <row r="57" spans="4:23" x14ac:dyDescent="0.25">
      <c r="D57">
        <v>40</v>
      </c>
      <c r="V57" t="str">
        <f>IF('Power Calculator'!Y35="No Tide!",0,RIGHT('Power Calculator'!Y35,1))</f>
        <v/>
      </c>
      <c r="W57" t="str">
        <f>IF('Power Calculator'!Y35="No Tide!",0,LEFT('Power Calculator'!Y35,1))</f>
        <v/>
      </c>
    </row>
    <row r="58" spans="4:23" x14ac:dyDescent="0.25">
      <c r="D58">
        <v>42</v>
      </c>
      <c r="V58" t="str">
        <f>IF('Power Calculator'!Y36="No Tide!",0,RIGHT('Power Calculator'!Y36,1))</f>
        <v/>
      </c>
      <c r="W58" t="str">
        <f>IF('Power Calculator'!Y36="No Tide!",0,LEFT('Power Calculator'!Y36,1))</f>
        <v/>
      </c>
    </row>
    <row r="59" spans="4:23" x14ac:dyDescent="0.25">
      <c r="D59">
        <v>44</v>
      </c>
      <c r="V59" t="str">
        <f>IF('Power Calculator'!Y37="No Tide!",0,RIGHT('Power Calculator'!Y37,1))</f>
        <v/>
      </c>
      <c r="W59" t="str">
        <f>IF('Power Calculator'!Y37="No Tide!",0,LEFT('Power Calculator'!Y37,1))</f>
        <v/>
      </c>
    </row>
    <row r="60" spans="4:23" x14ac:dyDescent="0.25">
      <c r="D60">
        <v>46</v>
      </c>
      <c r="V60" t="str">
        <f>IF('Power Calculator'!Y38="No Tide!",0,RIGHT('Power Calculator'!Y38,1))</f>
        <v/>
      </c>
      <c r="W60" t="str">
        <f>IF('Power Calculator'!Y38="No Tide!",0,LEFT('Power Calculator'!Y38,1))</f>
        <v/>
      </c>
    </row>
    <row r="61" spans="4:23" x14ac:dyDescent="0.25">
      <c r="D61">
        <v>48</v>
      </c>
      <c r="V61" t="str">
        <f>IF('Power Calculator'!Y39="No Tide!",0,RIGHT('Power Calculator'!Y39,1))</f>
        <v/>
      </c>
      <c r="W61" t="str">
        <f>IF('Power Calculator'!Y39="No Tide!",0,LEFT('Power Calculator'!Y39,1))</f>
        <v/>
      </c>
    </row>
    <row r="62" spans="4:23" x14ac:dyDescent="0.25">
      <c r="D62">
        <v>50</v>
      </c>
      <c r="V62" t="str">
        <f>IF('Power Calculator'!Y40="No Tide!",0,RIGHT('Power Calculator'!Y40,1))</f>
        <v/>
      </c>
      <c r="W62" t="str">
        <f>IF('Power Calculator'!Y40="No Tide!",0,LEFT('Power Calculator'!Y40,1))</f>
        <v/>
      </c>
    </row>
    <row r="63" spans="4:23" x14ac:dyDescent="0.25">
      <c r="D63">
        <v>55</v>
      </c>
      <c r="V63" t="str">
        <f>IF('Power Calculator'!Y41="No Tide!",0,RIGHT('Power Calculator'!Y41,1))</f>
        <v/>
      </c>
      <c r="W63" t="str">
        <f>IF('Power Calculator'!Y41="No Tide!",0,LEFT('Power Calculator'!Y41,1))</f>
        <v/>
      </c>
    </row>
    <row r="64" spans="4:23" x14ac:dyDescent="0.25">
      <c r="D64">
        <v>60</v>
      </c>
      <c r="V64" t="str">
        <f>IF('Power Calculator'!Y42="No Tide!",0,RIGHT('Power Calculator'!Y42,1))</f>
        <v/>
      </c>
      <c r="W64" t="str">
        <f>IF('Power Calculator'!Y42="No Tide!",0,LEFT('Power Calculator'!Y42,1))</f>
        <v/>
      </c>
    </row>
    <row r="65" spans="4:23" x14ac:dyDescent="0.25">
      <c r="D65">
        <v>65</v>
      </c>
      <c r="V65" t="str">
        <f>IF('Power Calculator'!Y43="No Tide!",0,RIGHT('Power Calculator'!Y43,1))</f>
        <v/>
      </c>
      <c r="W65" t="str">
        <f>IF('Power Calculator'!Y43="No Tide!",0,LEFT('Power Calculator'!Y43,1))</f>
        <v/>
      </c>
    </row>
    <row r="66" spans="4:23" x14ac:dyDescent="0.25">
      <c r="D66">
        <v>70</v>
      </c>
      <c r="V66" t="str">
        <f>IF('Power Calculator'!Y44="No Tide!",0,RIGHT('Power Calculator'!Y44,1))</f>
        <v/>
      </c>
      <c r="W66" t="str">
        <f>IF('Power Calculator'!Y44="No Tide!",0,LEFT('Power Calculator'!Y44,1))</f>
        <v/>
      </c>
    </row>
    <row r="67" spans="4:23" x14ac:dyDescent="0.25">
      <c r="V67" t="str">
        <f>IF('Power Calculator'!Y45="No Tide!",0,RIGHT('Power Calculator'!Y45,1))</f>
        <v/>
      </c>
      <c r="W67" t="str">
        <f>IF('Power Calculator'!Y45="No Tide!",0,LEFT('Power Calculator'!Y45,1))</f>
        <v/>
      </c>
    </row>
  </sheetData>
  <mergeCells count="3">
    <mergeCell ref="L33:N33"/>
    <mergeCell ref="O33:Q33"/>
    <mergeCell ref="R33:T33"/>
  </mergeCells>
  <pageMargins left="0.7" right="0.7" top="0.75" bottom="0.75" header="0.3" footer="0.3"/>
  <pageSetup paperSize="9" orientation="portrait" r:id="rId1"/>
  <ignoredErrors>
    <ignoredError sqref="M38:N38 P38:Q3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57</vt:i4>
      </vt:variant>
    </vt:vector>
  </HeadingPairs>
  <TitlesOfParts>
    <vt:vector size="61" baseType="lpstr">
      <vt:lpstr>Power Calculator</vt:lpstr>
      <vt:lpstr>Narrow Band</vt:lpstr>
      <vt:lpstr>BB</vt:lpstr>
      <vt:lpstr>Lists</vt:lpstr>
      <vt:lpstr>Amb</vt:lpstr>
      <vt:lpstr>AmbNB</vt:lpstr>
      <vt:lpstr>BBCell15</vt:lpstr>
      <vt:lpstr>bbcELL25</vt:lpstr>
      <vt:lpstr>BBCell3</vt:lpstr>
      <vt:lpstr>BBCell35</vt:lpstr>
      <vt:lpstr>BBCell4</vt:lpstr>
      <vt:lpstr>BBCell45</vt:lpstr>
      <vt:lpstr>Cell05</vt:lpstr>
      <vt:lpstr>Cell1</vt:lpstr>
      <vt:lpstr>Cell15</vt:lpstr>
      <vt:lpstr>Cell1NB</vt:lpstr>
      <vt:lpstr>Cell2</vt:lpstr>
      <vt:lpstr>Cell2.5</vt:lpstr>
      <vt:lpstr>Cell25</vt:lpstr>
      <vt:lpstr>Cell2NB</vt:lpstr>
      <vt:lpstr>Cell3</vt:lpstr>
      <vt:lpstr>Cell35</vt:lpstr>
      <vt:lpstr>Cell3NB</vt:lpstr>
      <vt:lpstr>Cell4</vt:lpstr>
      <vt:lpstr>Cell45</vt:lpstr>
      <vt:lpstr>Cell4NB</vt:lpstr>
      <vt:lpstr>Cell5</vt:lpstr>
      <vt:lpstr>Cell5NB</vt:lpstr>
      <vt:lpstr>BB!CellSize</vt:lpstr>
      <vt:lpstr>BB!Coef_BB1</vt:lpstr>
      <vt:lpstr>BB!Coef_BB10</vt:lpstr>
      <vt:lpstr>BB!Coef_BB11</vt:lpstr>
      <vt:lpstr>BB!Coef_BB2</vt:lpstr>
      <vt:lpstr>BB!Coef_BB3</vt:lpstr>
      <vt:lpstr>BB!Coef_BB4</vt:lpstr>
      <vt:lpstr>BB!Coef_BB5</vt:lpstr>
      <vt:lpstr>BB!Coef_BB6</vt:lpstr>
      <vt:lpstr>BB!Coef_BB7</vt:lpstr>
      <vt:lpstr>BB!Coef_BB8</vt:lpstr>
      <vt:lpstr>BB!Coef_BB9</vt:lpstr>
      <vt:lpstr>Coef1</vt:lpstr>
      <vt:lpstr>Coef10</vt:lpstr>
      <vt:lpstr>Coef11</vt:lpstr>
      <vt:lpstr>Coef2</vt:lpstr>
      <vt:lpstr>Coef3</vt:lpstr>
      <vt:lpstr>Coef3NB</vt:lpstr>
      <vt:lpstr>Coef4</vt:lpstr>
      <vt:lpstr>Coef4NB</vt:lpstr>
      <vt:lpstr>Coef5</vt:lpstr>
      <vt:lpstr>Coef5NB</vt:lpstr>
      <vt:lpstr>Coef6</vt:lpstr>
      <vt:lpstr>Coef7</vt:lpstr>
      <vt:lpstr>Coef8</vt:lpstr>
      <vt:lpstr>Coef9</vt:lpstr>
      <vt:lpstr>Sample</vt:lpstr>
      <vt:lpstr>BB!Table1</vt:lpstr>
      <vt:lpstr>BB!Table2</vt:lpstr>
      <vt:lpstr>Tide_Coefficients</vt:lpstr>
      <vt:lpstr>TX_Offset</vt:lpstr>
      <vt:lpstr>Tx_Slope</vt:lpstr>
      <vt:lpstr>Wave_Coefficient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Tholo, Harald - Xylem</dc:creator>
  <cp:lastModifiedBy>Jarle Heltne</cp:lastModifiedBy>
  <dcterms:created xsi:type="dcterms:W3CDTF">2014-12-03T09:22:40Z</dcterms:created>
  <dcterms:modified xsi:type="dcterms:W3CDTF">2019-02-27T09:57:09Z</dcterms:modified>
</cp:coreProperties>
</file>