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1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1xylem-my.sharepoint.com/personal/jostein_hovdenes_xylem_com/Documents/Documents/General/"/>
    </mc:Choice>
  </mc:AlternateContent>
  <xr:revisionPtr revIDLastSave="0" documentId="8_{598CF57C-80CD-49BD-9523-778848C8E0FC}" xr6:coauthVersionLast="47" xr6:coauthVersionMax="47" xr10:uidLastSave="{00000000-0000-0000-0000-000000000000}"/>
  <workbookProtection workbookAlgorithmName="SHA-512" workbookHashValue="kZlS+91HIjmO36PI791tuJYcG1zXV89qRAZ6ULnNTgHoqpuDn3/kDYYuWHmHBxDBsBzSmcbPvKBC+9DJwqd+iA==" workbookSaltValue="KNT5RJk6FXqvUUKIW2aTpw==" workbookSpinCount="100000" lockStructure="1"/>
  <bookViews>
    <workbookView xWindow="-120" yWindow="-120" windowWidth="51840" windowHeight="21150" xr2:uid="{00000000-000D-0000-FFFF-FFFF00000000}"/>
  </bookViews>
  <sheets>
    <sheet name="Power Calculator" sheetId="7" r:id="rId1"/>
    <sheet name="Instructions" sheetId="10" r:id="rId2"/>
    <sheet name="BB vs NB" sheetId="9" r:id="rId3"/>
    <sheet name="Narrow Band" sheetId="2" state="hidden" r:id="rId4"/>
    <sheet name="BB" sheetId="6" state="hidden" r:id="rId5"/>
    <sheet name="Lists" sheetId="5" state="hidden" r:id="rId6"/>
    <sheet name="Sensors" sheetId="8" state="hidden" r:id="rId7"/>
  </sheets>
  <externalReferences>
    <externalReference r:id="rId8"/>
    <externalReference r:id="rId9"/>
  </externalReferences>
  <definedNames>
    <definedName name="Amb" localSheetId="4">[1]Sheet1!$Y$67</definedName>
    <definedName name="Amb" localSheetId="0">'Power Calculator'!#REF!</definedName>
    <definedName name="Amb">'Narrow Band'!$CR$13</definedName>
    <definedName name="AmbNB">BB!$CX$13</definedName>
    <definedName name="asdfasd">[1]Sheet2!$AG$3</definedName>
    <definedName name="asfd">[1]Sheet2!$AG$3</definedName>
    <definedName name="Average1" localSheetId="0">[1]Sheet2!#REF!</definedName>
    <definedName name="Average1">[1]Sheet2!#REF!</definedName>
    <definedName name="BBCell15">BB!$DG$13</definedName>
    <definedName name="bbcELL25">BB!$DI$13</definedName>
    <definedName name="BBCell3">BB!$DJ$13</definedName>
    <definedName name="BBCell35">BB!$DN$13</definedName>
    <definedName name="BBCell4">BB!$DM$13</definedName>
    <definedName name="BBCell45">BB!$DM$13</definedName>
    <definedName name="Cell05" localSheetId="0">'Power Calculator'!#REF!</definedName>
    <definedName name="Cell05">'Narrow Band'!$CV$13</definedName>
    <definedName name="Cell1" localSheetId="4">[1]Sheet2!$AH$8</definedName>
    <definedName name="Cell1" localSheetId="0">'Power Calculator'!#REF!</definedName>
    <definedName name="Cell1">'Narrow Band'!$CW$13</definedName>
    <definedName name="Cell15" localSheetId="0">'Power Calculator'!#REF!</definedName>
    <definedName name="Cell15">'Narrow Band'!$CX$13</definedName>
    <definedName name="Cell1NB">BB!$DD$13</definedName>
    <definedName name="Cell2" localSheetId="4">[1]Sheet2!$AH$9</definedName>
    <definedName name="Cell2" localSheetId="0">'Power Calculator'!#REF!</definedName>
    <definedName name="Cell2">'Narrow Band'!$CY$13</definedName>
    <definedName name="Cell2.5" localSheetId="0">'Power Calculator'!#REF!</definedName>
    <definedName name="Cell2.5">'Narrow Band'!$CZ$13</definedName>
    <definedName name="Cell25" localSheetId="0">'Power Calculator'!#REF!</definedName>
    <definedName name="Cell25">'Narrow Band'!$CZ$13</definedName>
    <definedName name="Cell2NB">BB!$DF$13</definedName>
    <definedName name="Cell3" localSheetId="4">[1]Sheet2!$AH$10</definedName>
    <definedName name="Cell3" localSheetId="0">'Power Calculator'!#REF!</definedName>
    <definedName name="Cell3">'Narrow Band'!$DA$13</definedName>
    <definedName name="Cell35" localSheetId="0">'Power Calculator'!#REF!</definedName>
    <definedName name="Cell35">'Narrow Band'!$DB$13</definedName>
    <definedName name="Cell3NB">BB!$DH$13</definedName>
    <definedName name="Cell4" localSheetId="4">[1]Sheet2!$AH$11</definedName>
    <definedName name="Cell4" localSheetId="0">'Power Calculator'!#REF!</definedName>
    <definedName name="Cell4">'Narrow Band'!$DC$13</definedName>
    <definedName name="Cell45" localSheetId="0">'Power Calculator'!#REF!</definedName>
    <definedName name="Cell45">'Narrow Band'!$DD$13</definedName>
    <definedName name="Cell4NB">BB!$DJ$13</definedName>
    <definedName name="Cell5" localSheetId="4">[1]Sheet2!$AG$12</definedName>
    <definedName name="Cell5" localSheetId="0">'Power Calculator'!#REF!</definedName>
    <definedName name="Cell5">'Narrow Band'!$DE$13</definedName>
    <definedName name="Cell5NB">BB!$DL$13</definedName>
    <definedName name="CellSize" localSheetId="4">BB!$EA$13:$EA$13</definedName>
    <definedName name="CellSize" localSheetId="0">#REF!</definedName>
    <definedName name="CellSize">#REF!</definedName>
    <definedName name="Coef_BB1" localSheetId="4">BB!$DC$13</definedName>
    <definedName name="Coef_BB1" localSheetId="0">#REF!</definedName>
    <definedName name="Coef_BB1">#REF!</definedName>
    <definedName name="Coef_BB10" localSheetId="4">BB!$DQ$13</definedName>
    <definedName name="Coef_BB10" localSheetId="0">#REF!</definedName>
    <definedName name="Coef_BB10">#REF!</definedName>
    <definedName name="Coef_BB11" localSheetId="4">BB!$DR$13</definedName>
    <definedName name="Coef_BB11" localSheetId="0">#REF!</definedName>
    <definedName name="Coef_BB11">#REF!</definedName>
    <definedName name="Coef_BB2" localSheetId="4">BB!$DD$13</definedName>
    <definedName name="Coef_BB2" localSheetId="0">#REF!</definedName>
    <definedName name="Coef_BB2">#REF!</definedName>
    <definedName name="Coef_BB3" localSheetId="4">BB!$DE$13</definedName>
    <definedName name="Coef_BB3" localSheetId="0">#REF!</definedName>
    <definedName name="Coef_BB3">#REF!</definedName>
    <definedName name="Coef_BB4" localSheetId="4">BB!$DF$13</definedName>
    <definedName name="Coef_BB4" localSheetId="0">#REF!</definedName>
    <definedName name="Coef_BB4">#REF!</definedName>
    <definedName name="Coef_BB5" localSheetId="4">BB!$DH$13</definedName>
    <definedName name="Coef_BB5" localSheetId="0">#REF!</definedName>
    <definedName name="Coef_BB5">#REF!</definedName>
    <definedName name="Coef_BB6" localSheetId="4">BB!$DK$13</definedName>
    <definedName name="Coef_BB6" localSheetId="0">#REF!</definedName>
    <definedName name="Coef_BB6">#REF!</definedName>
    <definedName name="Coef_BB7" localSheetId="4">BB!$DL$13</definedName>
    <definedName name="Coef_BB7" localSheetId="0">#REF!</definedName>
    <definedName name="Coef_BB7">#REF!</definedName>
    <definedName name="Coef_BB8" localSheetId="4">BB!$DO$13</definedName>
    <definedName name="Coef_BB8" localSheetId="0">#REF!</definedName>
    <definedName name="Coef_BB8">#REF!</definedName>
    <definedName name="Coef_BB9" localSheetId="4">BB!$DP$13</definedName>
    <definedName name="Coef_BB9" localSheetId="0">#REF!</definedName>
    <definedName name="Coef_BB9">#REF!</definedName>
    <definedName name="Coef1" localSheetId="4">'[1]Narrow Band'!$AG$3</definedName>
    <definedName name="Coef1" localSheetId="0">'Power Calculator'!#REF!</definedName>
    <definedName name="Coef1">'Narrow Band'!$CS$12</definedName>
    <definedName name="Coef10" localSheetId="4">'[1]Narrow Band'!$AG$12</definedName>
    <definedName name="Coef10" localSheetId="0">'Power Calculator'!#REF!</definedName>
    <definedName name="Coef10">'Narrow Band'!$DC$13</definedName>
    <definedName name="Coef11" localSheetId="4">'[1]Narrow Band'!$AG$13</definedName>
    <definedName name="Coef11" localSheetId="0">'Power Calculator'!#REF!</definedName>
    <definedName name="Coef11">'Narrow Band'!$DE$13</definedName>
    <definedName name="Coef2" localSheetId="4">'[1]Narrow Band'!$AG$4</definedName>
    <definedName name="Coef2" localSheetId="0">'Power Calculator'!#REF!</definedName>
    <definedName name="Coef2">'Narrow Band'!$CR$13</definedName>
    <definedName name="Coef3" localSheetId="4">'[1]Narrow Band'!$AG$5</definedName>
    <definedName name="Coef3" localSheetId="0">'Power Calculator'!#REF!</definedName>
    <definedName name="Coef3">'Narrow Band'!$CS$13</definedName>
    <definedName name="Coef3NB">BB!$CY$13</definedName>
    <definedName name="Coef4" localSheetId="4">'[1]Narrow Band'!$AG$6</definedName>
    <definedName name="Coef4" localSheetId="0">'Power Calculator'!#REF!</definedName>
    <definedName name="Coef4">'Narrow Band'!$CT$13</definedName>
    <definedName name="Coef4NB">BB!$CZ$13</definedName>
    <definedName name="Coef5" localSheetId="4">'[1]Narrow Band'!$AG$7</definedName>
    <definedName name="Coef5" localSheetId="0">'Power Calculator'!#REF!</definedName>
    <definedName name="Coef5">'Narrow Band'!$CU$13</definedName>
    <definedName name="Coef5NB">BB!$DA$13</definedName>
    <definedName name="Coef6" localSheetId="4">'[1]Narrow Band'!$AG$8</definedName>
    <definedName name="Coef6" localSheetId="0">'Power Calculator'!#REF!</definedName>
    <definedName name="Coef6">'Narrow Band'!$CV$13</definedName>
    <definedName name="Coef7" localSheetId="4">'[1]Narrow Band'!$AG$9</definedName>
    <definedName name="Coef7" localSheetId="0">'Power Calculator'!#REF!</definedName>
    <definedName name="Coef7">'Narrow Band'!$CW$13</definedName>
    <definedName name="Coef8" localSheetId="4">'[1]Narrow Band'!$AG$10</definedName>
    <definedName name="Coef8" localSheetId="0">'Power Calculator'!#REF!</definedName>
    <definedName name="Coef8">'Narrow Band'!$CY$13</definedName>
    <definedName name="Coef9" localSheetId="4">'[1]Narrow Band'!$AG$11</definedName>
    <definedName name="Coef9" localSheetId="0">'Power Calculator'!#REF!</definedName>
    <definedName name="Coef9">'Narrow Band'!$DA$13</definedName>
    <definedName name="Coeff1" localSheetId="0">'Power Calculator'!#REF!</definedName>
    <definedName name="Coeff1">'Narrow Band'!#REF!</definedName>
    <definedName name="Depth" localSheetId="0">'Power Calculator'!#REF!</definedName>
    <definedName name="Depth">'Narrow Band'!#REF!</definedName>
    <definedName name="dsaf">[1]Sheet2!$AH$5</definedName>
    <definedName name="eje">[1]Sheet2!$AG$5</definedName>
    <definedName name="er">[1]Sheet2!$AH$3</definedName>
    <definedName name="eryt">[1]Sheet2!$AH$11</definedName>
    <definedName name="ety">[1]Sheet2!$AH$9</definedName>
    <definedName name="etye">[1]Sheet2!$AG$11</definedName>
    <definedName name="Export" localSheetId="4">[1]Sheet1!$Y$70</definedName>
    <definedName name="Export" localSheetId="0">#REF!</definedName>
    <definedName name="Export">#REF!</definedName>
    <definedName name="jejy">[1]Sheet2!$AG$4</definedName>
    <definedName name="Number_of_Samples">[2]Sheet1!$C$20</definedName>
    <definedName name="Output_Interval">[2]Sheet1!$C$22</definedName>
    <definedName name="Proc05">[1]Sheet2!$AA$6</definedName>
    <definedName name="Proc1">[1]Sheet2!$AA$11</definedName>
    <definedName name="Proc2">[1]Sheet2!$AA$21</definedName>
    <definedName name="Proc3">[1]Sheet2!$AA$31</definedName>
    <definedName name="Proc4">[1]Sheet2!$AA$31</definedName>
    <definedName name="ProcCurrCell" localSheetId="4">[1]Sheet1!$Y$69</definedName>
    <definedName name="ProcCurrCell" localSheetId="0">#REF!</definedName>
    <definedName name="ProcCurrCell">#REF!</definedName>
    <definedName name="rt">[1]Sheet2!$AH$3</definedName>
    <definedName name="Sample" localSheetId="4">[1]Sheet2!$AF$39</definedName>
    <definedName name="Sample" localSheetId="0">'Power Calculator'!#REF!</definedName>
    <definedName name="Sample">'Narrow Band'!$CU$13</definedName>
    <definedName name="Sampling_Frequency">[2]Sheet1!$C$19</definedName>
    <definedName name="sdf">[1]Sheet2!$AG$3</definedName>
    <definedName name="sdfg">[1]Sheet2!$AH$5</definedName>
    <definedName name="t">[1]Sheet2!$AH$4</definedName>
    <definedName name="Table1" localSheetId="4">BB!$EA$13:$EA$13</definedName>
    <definedName name="Table1" localSheetId="0">#REF!</definedName>
    <definedName name="Table1">#REF!</definedName>
    <definedName name="Table2" localSheetId="4">BB!$EA$13:$EA$13</definedName>
    <definedName name="Table2" localSheetId="0">#REF!</definedName>
    <definedName name="Table2">#REF!</definedName>
    <definedName name="te">[1]Sheet2!$AH$6</definedName>
    <definedName name="Tidal_Averaging_Period">[2]Sheet1!$C$21</definedName>
    <definedName name="Tidalaverageperiod">#REF!</definedName>
    <definedName name="Tide_Coefficients">Lists!$N$5</definedName>
    <definedName name="tku">[1]Sheet2!$AG$6</definedName>
    <definedName name="try">[1]Sheet2!$AG$3</definedName>
    <definedName name="TX_Offset" localSheetId="0">'Power Calculator'!#REF!</definedName>
    <definedName name="TX_Offset">'Narrow Band'!$CS$13</definedName>
    <definedName name="Tx_Slope" localSheetId="0">'Power Calculator'!#REF!</definedName>
    <definedName name="Tx_Slope">'Narrow Band'!$CT$13</definedName>
    <definedName name="TxCurrBB" localSheetId="4">[1]Sheet1!$Y$68</definedName>
    <definedName name="TxCurrBB" localSheetId="0">#REF!</definedName>
    <definedName name="TxCurrBB">#REF!</definedName>
    <definedName name="ty">[1]Sheet2!$AH$8</definedName>
    <definedName name="uiotyl">[1]Sheet2!$AG$8</definedName>
    <definedName name="w">[1]Sheet2!$AH$3</definedName>
    <definedName name="Wave_Coefficient">Lists!$N$4</definedName>
    <definedName name="wetf">[1]Sheet2!$AH$5</definedName>
    <definedName name="yuil">[1]Sheet2!$AG$9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I26" i="6" l="1"/>
  <c r="CH26" i="6"/>
  <c r="CG26" i="6"/>
  <c r="CF26" i="6"/>
  <c r="CI25" i="6"/>
  <c r="CK25" i="6" s="1"/>
  <c r="CH25" i="6"/>
  <c r="CG25" i="6"/>
  <c r="CF25" i="6"/>
  <c r="CI24" i="6"/>
  <c r="CK24" i="6" s="1"/>
  <c r="CH24" i="6"/>
  <c r="CG24" i="6"/>
  <c r="CF24" i="6"/>
  <c r="CI23" i="6"/>
  <c r="CH23" i="6"/>
  <c r="CG23" i="6"/>
  <c r="CF23" i="6"/>
  <c r="CI22" i="6"/>
  <c r="CH22" i="6"/>
  <c r="CG22" i="6"/>
  <c r="CF22" i="6"/>
  <c r="CI21" i="6"/>
  <c r="CJ21" i="6" s="1"/>
  <c r="CH21" i="6"/>
  <c r="CG21" i="6"/>
  <c r="CF21" i="6"/>
  <c r="CI20" i="6"/>
  <c r="CK20" i="6" s="1"/>
  <c r="CH20" i="6"/>
  <c r="CG20" i="6"/>
  <c r="CF20" i="6"/>
  <c r="CI19" i="6"/>
  <c r="CH19" i="6"/>
  <c r="CG19" i="6"/>
  <c r="CF19" i="6"/>
  <c r="CI18" i="6"/>
  <c r="CH18" i="6"/>
  <c r="CG18" i="6"/>
  <c r="CF18" i="6"/>
  <c r="CI17" i="6"/>
  <c r="CH17" i="6"/>
  <c r="CG17" i="6"/>
  <c r="CF17" i="6"/>
  <c r="CI16" i="6"/>
  <c r="CH16" i="6"/>
  <c r="CG16" i="6"/>
  <c r="CF16" i="6"/>
  <c r="CI15" i="6"/>
  <c r="CH15" i="6"/>
  <c r="CG15" i="6"/>
  <c r="CF15" i="6"/>
  <c r="CI14" i="6"/>
  <c r="CH14" i="6"/>
  <c r="CG14" i="6"/>
  <c r="CF14" i="6"/>
  <c r="CI13" i="6"/>
  <c r="CH13" i="6"/>
  <c r="CG13" i="6"/>
  <c r="CF13" i="6"/>
  <c r="CA17" i="2"/>
  <c r="CC17" i="2" s="1"/>
  <c r="BZ17" i="2"/>
  <c r="BY17" i="2"/>
  <c r="BX17" i="2"/>
  <c r="CA16" i="2"/>
  <c r="BZ16" i="2"/>
  <c r="BY16" i="2"/>
  <c r="BX16" i="2"/>
  <c r="CA15" i="2"/>
  <c r="BZ15" i="2"/>
  <c r="BY15" i="2"/>
  <c r="BX15" i="2"/>
  <c r="CA14" i="2"/>
  <c r="BZ14" i="2"/>
  <c r="BY14" i="2"/>
  <c r="BX14" i="2"/>
  <c r="CA13" i="2"/>
  <c r="BZ13" i="2"/>
  <c r="BY13" i="2"/>
  <c r="BX13" i="2"/>
  <c r="CK26" i="6"/>
  <c r="CE26" i="6"/>
  <c r="CD26" i="6"/>
  <c r="CE25" i="6"/>
  <c r="CD25" i="6"/>
  <c r="CE24" i="6"/>
  <c r="CD24" i="6"/>
  <c r="CJ23" i="6"/>
  <c r="CE23" i="6"/>
  <c r="CD23" i="6"/>
  <c r="CK22" i="6"/>
  <c r="CE22" i="6"/>
  <c r="CD22" i="6"/>
  <c r="CE21" i="6"/>
  <c r="CD21" i="6"/>
  <c r="CE20" i="6"/>
  <c r="CD20" i="6"/>
  <c r="CK19" i="6"/>
  <c r="CE19" i="6"/>
  <c r="CD19" i="6"/>
  <c r="CK18" i="6"/>
  <c r="CE18" i="6"/>
  <c r="CD18" i="6"/>
  <c r="CC15" i="2" l="1"/>
  <c r="CK13" i="6"/>
  <c r="CK16" i="6"/>
  <c r="CK14" i="6"/>
  <c r="CC13" i="2"/>
  <c r="CC16" i="2"/>
  <c r="CJ17" i="6"/>
  <c r="CC14" i="2"/>
  <c r="CJ15" i="6"/>
  <c r="CJ25" i="6"/>
  <c r="CJ13" i="6"/>
  <c r="CJ19" i="6"/>
  <c r="CK15" i="6"/>
  <c r="CK17" i="6"/>
  <c r="CK21" i="6"/>
  <c r="CK23" i="6"/>
  <c r="CJ14" i="6"/>
  <c r="CJ16" i="6"/>
  <c r="CJ18" i="6"/>
  <c r="CJ20" i="6"/>
  <c r="CJ22" i="6"/>
  <c r="CJ24" i="6"/>
  <c r="CJ26" i="6"/>
  <c r="CB14" i="2"/>
  <c r="CB16" i="2"/>
  <c r="CB13" i="2"/>
  <c r="CB15" i="2"/>
  <c r="CB17" i="2"/>
  <c r="AW14" i="7" l="1"/>
  <c r="AW15" i="7"/>
  <c r="AW16" i="7"/>
  <c r="AW17" i="7"/>
  <c r="AW13" i="7"/>
  <c r="W24" i="8" l="1"/>
  <c r="W25" i="8"/>
  <c r="W26" i="8"/>
  <c r="W27" i="8"/>
  <c r="W23" i="8"/>
  <c r="W5" i="8"/>
  <c r="W6" i="8"/>
  <c r="W7" i="8"/>
  <c r="W8" i="8"/>
  <c r="W4" i="8"/>
  <c r="AE12" i="8"/>
  <c r="AG12" i="8" s="1"/>
  <c r="AJ5" i="8" s="1"/>
  <c r="AE11" i="8"/>
  <c r="AG11" i="8" s="1"/>
  <c r="AE10" i="8"/>
  <c r="AG10" i="8" s="1"/>
  <c r="AE9" i="8"/>
  <c r="AG9" i="8" s="1"/>
  <c r="AE8" i="8"/>
  <c r="AG8" i="8" s="1"/>
  <c r="AE7" i="8"/>
  <c r="AG7" i="8" s="1"/>
  <c r="AJ12" i="8" l="1"/>
  <c r="AK12" i="8" s="1"/>
  <c r="V30" i="5"/>
  <c r="V29" i="5"/>
  <c r="A32" i="8"/>
  <c r="V24" i="8" s="1"/>
  <c r="X24" i="8" s="1"/>
  <c r="AA24" i="8" s="1"/>
  <c r="A33" i="8"/>
  <c r="V25" i="8" s="1"/>
  <c r="X25" i="8" s="1"/>
  <c r="AA25" i="8" s="1"/>
  <c r="A34" i="8"/>
  <c r="V26" i="8" s="1"/>
  <c r="X26" i="8" s="1"/>
  <c r="AA26" i="8" s="1"/>
  <c r="A35" i="8"/>
  <c r="V27" i="8" s="1"/>
  <c r="X27" i="8" s="1"/>
  <c r="AA27" i="8" s="1"/>
  <c r="A31" i="8"/>
  <c r="V23" i="8" s="1"/>
  <c r="X23" i="8" s="1"/>
  <c r="AA23" i="8" s="1"/>
  <c r="A13" i="8"/>
  <c r="V5" i="8" s="1"/>
  <c r="A14" i="8"/>
  <c r="V6" i="8" s="1"/>
  <c r="A15" i="8"/>
  <c r="V7" i="8" s="1"/>
  <c r="A16" i="8"/>
  <c r="V8" i="8" s="1"/>
  <c r="A12" i="8"/>
  <c r="V4" i="8" s="1"/>
  <c r="X4" i="8" s="1"/>
  <c r="AA4" i="8" s="1"/>
  <c r="C31" i="8"/>
  <c r="S35" i="8"/>
  <c r="S32" i="8"/>
  <c r="S33" i="8"/>
  <c r="S34" i="8"/>
  <c r="S31" i="8"/>
  <c r="R32" i="8"/>
  <c r="R33" i="8"/>
  <c r="R34" i="8"/>
  <c r="R35" i="8"/>
  <c r="R31" i="8"/>
  <c r="D32" i="8"/>
  <c r="D33" i="8"/>
  <c r="D34" i="8"/>
  <c r="D35" i="8"/>
  <c r="D31" i="8"/>
  <c r="C32" i="8"/>
  <c r="C33" i="8"/>
  <c r="C34" i="8"/>
  <c r="C35" i="8"/>
  <c r="A29" i="8"/>
  <c r="S20" i="8"/>
  <c r="R20" i="8"/>
  <c r="S19" i="8"/>
  <c r="R19" i="8"/>
  <c r="S18" i="8"/>
  <c r="R18" i="8"/>
  <c r="S17" i="8"/>
  <c r="R17" i="8"/>
  <c r="S16" i="8"/>
  <c r="R16" i="8"/>
  <c r="D16" i="8"/>
  <c r="C16" i="8"/>
  <c r="S15" i="8"/>
  <c r="R15" i="8"/>
  <c r="D15" i="8"/>
  <c r="C15" i="8"/>
  <c r="S14" i="8"/>
  <c r="R14" i="8"/>
  <c r="D14" i="8"/>
  <c r="C14" i="8"/>
  <c r="S13" i="8"/>
  <c r="R13" i="8"/>
  <c r="D13" i="8"/>
  <c r="C13" i="8"/>
  <c r="S12" i="8"/>
  <c r="R12" i="8"/>
  <c r="D12" i="8"/>
  <c r="C12" i="8"/>
  <c r="A10" i="8"/>
  <c r="H19" i="7"/>
  <c r="DU14" i="6"/>
  <c r="DU15" i="6"/>
  <c r="DU16" i="6"/>
  <c r="DU17" i="6"/>
  <c r="DU18" i="6"/>
  <c r="DU19" i="6"/>
  <c r="DU20" i="6"/>
  <c r="DU21" i="6"/>
  <c r="DU22" i="6"/>
  <c r="DU23" i="6"/>
  <c r="DU24" i="6"/>
  <c r="DU25" i="6"/>
  <c r="DU26" i="6"/>
  <c r="DU13" i="6"/>
  <c r="DT14" i="6"/>
  <c r="DT15" i="6"/>
  <c r="DT16" i="6"/>
  <c r="DT17" i="6"/>
  <c r="DT18" i="6"/>
  <c r="DT19" i="6"/>
  <c r="DT20" i="6"/>
  <c r="DT21" i="6"/>
  <c r="DT22" i="6"/>
  <c r="DT23" i="6"/>
  <c r="DT24" i="6"/>
  <c r="DT25" i="6"/>
  <c r="DT26" i="6"/>
  <c r="DT13" i="6"/>
  <c r="AB18" i="5"/>
  <c r="AB20" i="5" a="1"/>
  <c r="AB20" i="5" s="1"/>
  <c r="AB19" i="5"/>
  <c r="H8" i="8" l="1"/>
  <c r="X8" i="8"/>
  <c r="AA8" i="8" s="1"/>
  <c r="G7" i="8"/>
  <c r="X7" i="8"/>
  <c r="AA7" i="8" s="1"/>
  <c r="J27" i="8"/>
  <c r="J26" i="8"/>
  <c r="K23" i="8"/>
  <c r="J25" i="8"/>
  <c r="H6" i="8"/>
  <c r="X6" i="8"/>
  <c r="AA6" i="8" s="1"/>
  <c r="G5" i="8"/>
  <c r="X5" i="8"/>
  <c r="AA5" i="8" s="1"/>
  <c r="J24" i="8"/>
  <c r="I4" i="8"/>
  <c r="P16" i="8"/>
  <c r="G4" i="8"/>
  <c r="G8" i="8"/>
  <c r="J4" i="8"/>
  <c r="J8" i="8"/>
  <c r="P13" i="8"/>
  <c r="H5" i="8"/>
  <c r="I5" i="8"/>
  <c r="J5" i="8"/>
  <c r="K5" i="8"/>
  <c r="G23" i="8"/>
  <c r="H23" i="8"/>
  <c r="I23" i="8"/>
  <c r="H7" i="8"/>
  <c r="I26" i="8"/>
  <c r="K7" i="8"/>
  <c r="I8" i="8"/>
  <c r="K26" i="8"/>
  <c r="I7" i="8"/>
  <c r="J7" i="8"/>
  <c r="K8" i="8"/>
  <c r="G26" i="8"/>
  <c r="H26" i="8"/>
  <c r="G27" i="8"/>
  <c r="K27" i="8"/>
  <c r="K25" i="8"/>
  <c r="H27" i="8"/>
  <c r="P32" i="8"/>
  <c r="G24" i="8"/>
  <c r="K24" i="8"/>
  <c r="P33" i="8"/>
  <c r="H25" i="8"/>
  <c r="H24" i="8"/>
  <c r="I27" i="8"/>
  <c r="I25" i="8"/>
  <c r="I24" i="8"/>
  <c r="G25" i="8"/>
  <c r="J23" i="8"/>
  <c r="I6" i="8"/>
  <c r="J6" i="8"/>
  <c r="G6" i="8"/>
  <c r="K6" i="8"/>
  <c r="K4" i="8"/>
  <c r="H4" i="8"/>
  <c r="D19" i="8"/>
  <c r="P35" i="8"/>
  <c r="E12" i="8"/>
  <c r="G12" i="8" s="1"/>
  <c r="K12" i="8" s="1"/>
  <c r="F32" i="8"/>
  <c r="J32" i="8" s="1"/>
  <c r="F14" i="8"/>
  <c r="H14" i="8" s="1"/>
  <c r="F31" i="8"/>
  <c r="F35" i="8"/>
  <c r="H35" i="8" s="1"/>
  <c r="F16" i="8"/>
  <c r="J16" i="8" s="1"/>
  <c r="F34" i="8"/>
  <c r="I34" i="8" s="1"/>
  <c r="F15" i="8"/>
  <c r="I15" i="8" s="1"/>
  <c r="F33" i="8"/>
  <c r="H33" i="8" s="1"/>
  <c r="F13" i="8"/>
  <c r="J13" i="8" s="1"/>
  <c r="P34" i="8"/>
  <c r="N31" i="8"/>
  <c r="F12" i="8"/>
  <c r="H12" i="8" s="1"/>
  <c r="E32" i="8"/>
  <c r="G32" i="8" s="1"/>
  <c r="E35" i="8"/>
  <c r="G35" i="8" s="1"/>
  <c r="L35" i="8" s="1"/>
  <c r="E14" i="8"/>
  <c r="G14" i="8" s="1"/>
  <c r="M14" i="8" s="1"/>
  <c r="P15" i="8"/>
  <c r="E33" i="8"/>
  <c r="G33" i="8" s="1"/>
  <c r="L33" i="8" s="1"/>
  <c r="E31" i="8"/>
  <c r="G31" i="8" s="1"/>
  <c r="K31" i="8" s="1"/>
  <c r="E13" i="8"/>
  <c r="E15" i="8"/>
  <c r="G15" i="8" s="1"/>
  <c r="M15" i="8" s="1"/>
  <c r="N32" i="8"/>
  <c r="N14" i="8"/>
  <c r="O32" i="8"/>
  <c r="O31" i="8"/>
  <c r="N13" i="8"/>
  <c r="P31" i="8"/>
  <c r="O13" i="8"/>
  <c r="O15" i="8"/>
  <c r="E34" i="8"/>
  <c r="G34" i="8" s="1"/>
  <c r="K34" i="8" s="1"/>
  <c r="E16" i="8"/>
  <c r="G16" i="8" s="1"/>
  <c r="L16" i="8" s="1"/>
  <c r="N33" i="8"/>
  <c r="O33" i="8"/>
  <c r="N34" i="8"/>
  <c r="O34" i="8"/>
  <c r="N35" i="8"/>
  <c r="O35" i="8"/>
  <c r="N12" i="8"/>
  <c r="O12" i="8"/>
  <c r="P12" i="8"/>
  <c r="O14" i="8"/>
  <c r="P14" i="8"/>
  <c r="N15" i="8"/>
  <c r="N16" i="8"/>
  <c r="O16" i="8"/>
  <c r="DB14" i="6"/>
  <c r="DB15" i="6"/>
  <c r="DB16" i="6"/>
  <c r="DB17" i="6"/>
  <c r="DB18" i="6"/>
  <c r="DB19" i="6"/>
  <c r="DB20" i="6"/>
  <c r="DB21" i="6"/>
  <c r="DB22" i="6"/>
  <c r="DB23" i="6"/>
  <c r="DB24" i="6"/>
  <c r="DB25" i="6"/>
  <c r="DB26" i="6"/>
  <c r="DB13" i="6"/>
  <c r="DV19" i="6"/>
  <c r="BR13" i="2"/>
  <c r="BS13" i="2"/>
  <c r="BT13" i="2"/>
  <c r="BU13" i="2"/>
  <c r="BW13" i="2" l="1"/>
  <c r="BV13" i="2"/>
  <c r="K33" i="8"/>
  <c r="Q33" i="8" s="1"/>
  <c r="J31" i="8"/>
  <c r="H31" i="8"/>
  <c r="Q31" i="8" s="1"/>
  <c r="M33" i="8"/>
  <c r="Q12" i="8"/>
  <c r="J15" i="8"/>
  <c r="H15" i="8"/>
  <c r="I33" i="8"/>
  <c r="J33" i="8"/>
  <c r="L34" i="8"/>
  <c r="I31" i="8"/>
  <c r="K35" i="8"/>
  <c r="Q35" i="8" s="1"/>
  <c r="M35" i="8"/>
  <c r="I14" i="8"/>
  <c r="J14" i="8"/>
  <c r="H16" i="8"/>
  <c r="I16" i="8"/>
  <c r="L14" i="8"/>
  <c r="K14" i="8"/>
  <c r="Q14" i="8" s="1"/>
  <c r="I35" i="8"/>
  <c r="J35" i="8"/>
  <c r="J34" i="8"/>
  <c r="H34" i="8"/>
  <c r="Q34" i="8" s="1"/>
  <c r="K16" i="8"/>
  <c r="M16" i="8"/>
  <c r="I32" i="8"/>
  <c r="H32" i="8"/>
  <c r="M34" i="8"/>
  <c r="K15" i="8"/>
  <c r="Q15" i="8" s="1"/>
  <c r="L31" i="8"/>
  <c r="M31" i="8"/>
  <c r="K32" i="8"/>
  <c r="L32" i="8"/>
  <c r="M32" i="8"/>
  <c r="G13" i="8"/>
  <c r="K13" i="8" s="1"/>
  <c r="L15" i="8"/>
  <c r="J12" i="8"/>
  <c r="I12" i="8"/>
  <c r="H13" i="8"/>
  <c r="I13" i="8"/>
  <c r="L12" i="8"/>
  <c r="M12" i="8"/>
  <c r="DV25" i="6"/>
  <c r="DV13" i="6"/>
  <c r="DV26" i="6"/>
  <c r="DV18" i="6"/>
  <c r="DV16" i="6"/>
  <c r="DV15" i="6"/>
  <c r="DV24" i="6"/>
  <c r="DV21" i="6"/>
  <c r="DV20" i="6"/>
  <c r="DV22" i="6"/>
  <c r="DV17" i="6"/>
  <c r="DV23" i="6"/>
  <c r="DV14" i="6"/>
  <c r="BG13" i="2"/>
  <c r="Q32" i="8" l="1"/>
  <c r="Q13" i="8"/>
  <c r="Q16" i="8"/>
  <c r="M13" i="8"/>
  <c r="L13" i="8"/>
  <c r="BG14" i="7"/>
  <c r="BJ14" i="7" s="1"/>
  <c r="BG15" i="7"/>
  <c r="BJ15" i="7" s="1"/>
  <c r="BG16" i="7"/>
  <c r="BJ16" i="7" s="1"/>
  <c r="BG17" i="7"/>
  <c r="BJ17" i="7" s="1"/>
  <c r="BG13" i="7"/>
  <c r="BJ13" i="7" s="1"/>
  <c r="BF14" i="7"/>
  <c r="BI14" i="7" s="1"/>
  <c r="BF15" i="7"/>
  <c r="BI15" i="7" s="1"/>
  <c r="BF16" i="7"/>
  <c r="BI16" i="7" s="1"/>
  <c r="BF17" i="7"/>
  <c r="BI17" i="7" s="1"/>
  <c r="BF13" i="7"/>
  <c r="BI13" i="7" s="1"/>
  <c r="BE14" i="7"/>
  <c r="BH14" i="7" s="1"/>
  <c r="BE15" i="7"/>
  <c r="BH15" i="7" s="1"/>
  <c r="BE16" i="7"/>
  <c r="BH16" i="7" s="1"/>
  <c r="BE17" i="7"/>
  <c r="BH17" i="7" s="1"/>
  <c r="BE13" i="7"/>
  <c r="BH13" i="7" s="1"/>
  <c r="BR14" i="2" l="1"/>
  <c r="BS14" i="2"/>
  <c r="BT14" i="2"/>
  <c r="BU14" i="2"/>
  <c r="BR15" i="2"/>
  <c r="BS15" i="2"/>
  <c r="BU15" i="2"/>
  <c r="BR16" i="2"/>
  <c r="BS16" i="2"/>
  <c r="BU16" i="2"/>
  <c r="BR17" i="2"/>
  <c r="BS17" i="2"/>
  <c r="BT17" i="2"/>
  <c r="BU17" i="2"/>
  <c r="BF13" i="2"/>
  <c r="BH13" i="2"/>
  <c r="BI13" i="2"/>
  <c r="BL13" i="2"/>
  <c r="BM13" i="2"/>
  <c r="BN13" i="2"/>
  <c r="BO13" i="2"/>
  <c r="BM15" i="2"/>
  <c r="BG14" i="2"/>
  <c r="BG15" i="2"/>
  <c r="BG16" i="2"/>
  <c r="BG17" i="2"/>
  <c r="BF15" i="2"/>
  <c r="BF14" i="2"/>
  <c r="BF16" i="2"/>
  <c r="BF17" i="2"/>
  <c r="BW17" i="2" l="1"/>
  <c r="BV17" i="2"/>
  <c r="BW16" i="2"/>
  <c r="BV16" i="2"/>
  <c r="BW15" i="2"/>
  <c r="BV15" i="2"/>
  <c r="BV14" i="2"/>
  <c r="BW14" i="2"/>
  <c r="CC13" i="6"/>
  <c r="W47" i="5" l="1"/>
  <c r="W48" i="5"/>
  <c r="W49" i="5"/>
  <c r="W50" i="5"/>
  <c r="W51" i="5"/>
  <c r="W52" i="5"/>
  <c r="W53" i="5"/>
  <c r="W54" i="5"/>
  <c r="W55" i="5"/>
  <c r="W56" i="5"/>
  <c r="W57" i="5"/>
  <c r="W58" i="5"/>
  <c r="W59" i="5"/>
  <c r="W60" i="5"/>
  <c r="W61" i="5"/>
  <c r="W62" i="5"/>
  <c r="W63" i="5"/>
  <c r="W64" i="5"/>
  <c r="W65" i="5"/>
  <c r="W66" i="5"/>
  <c r="W67" i="5"/>
  <c r="R4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BL14" i="6" l="1"/>
  <c r="BM14" i="6"/>
  <c r="BN14" i="6"/>
  <c r="BP14" i="6"/>
  <c r="BT14" i="6"/>
  <c r="BU14" i="6"/>
  <c r="BV14" i="6"/>
  <c r="BW14" i="6"/>
  <c r="BZ14" i="6"/>
  <c r="CA14" i="6"/>
  <c r="CB14" i="6"/>
  <c r="CC14" i="6"/>
  <c r="BL15" i="6"/>
  <c r="BM15" i="6"/>
  <c r="BN15" i="6"/>
  <c r="BP15" i="6"/>
  <c r="BT15" i="6"/>
  <c r="BU15" i="6"/>
  <c r="BV15" i="6"/>
  <c r="BW15" i="6"/>
  <c r="BZ15" i="6"/>
  <c r="CA15" i="6"/>
  <c r="CB15" i="6"/>
  <c r="CC15" i="6"/>
  <c r="BL16" i="6"/>
  <c r="BM16" i="6"/>
  <c r="BN16" i="6"/>
  <c r="BP16" i="6"/>
  <c r="BT16" i="6"/>
  <c r="BU16" i="6"/>
  <c r="BV16" i="6"/>
  <c r="BW16" i="6"/>
  <c r="BZ16" i="6"/>
  <c r="CA16" i="6"/>
  <c r="CB16" i="6"/>
  <c r="CC16" i="6"/>
  <c r="BL17" i="6"/>
  <c r="BM17" i="6"/>
  <c r="BN17" i="6"/>
  <c r="BP17" i="6"/>
  <c r="BT17" i="6"/>
  <c r="BU17" i="6"/>
  <c r="BV17" i="6"/>
  <c r="BW17" i="6"/>
  <c r="BZ17" i="6"/>
  <c r="CA17" i="6"/>
  <c r="CB17" i="6"/>
  <c r="CC17" i="6"/>
  <c r="BL18" i="6"/>
  <c r="DZ18" i="6" s="1"/>
  <c r="BM18" i="6"/>
  <c r="BN18" i="6"/>
  <c r="BP18" i="6"/>
  <c r="BT18" i="6"/>
  <c r="BU18" i="6"/>
  <c r="BV18" i="6"/>
  <c r="BW18" i="6"/>
  <c r="BZ18" i="6"/>
  <c r="CA18" i="6"/>
  <c r="CB18" i="6"/>
  <c r="CC18" i="6"/>
  <c r="BL19" i="6"/>
  <c r="DZ19" i="6" s="1"/>
  <c r="BM19" i="6"/>
  <c r="BN19" i="6"/>
  <c r="BP19" i="6"/>
  <c r="BT19" i="6"/>
  <c r="BU19" i="6"/>
  <c r="BV19" i="6"/>
  <c r="BW19" i="6"/>
  <c r="BZ19" i="6"/>
  <c r="CA19" i="6"/>
  <c r="CB19" i="6"/>
  <c r="CC19" i="6"/>
  <c r="BL20" i="6"/>
  <c r="DZ20" i="6" s="1"/>
  <c r="BM20" i="6"/>
  <c r="BN20" i="6"/>
  <c r="BP20" i="6"/>
  <c r="BT20" i="6"/>
  <c r="BU20" i="6"/>
  <c r="BV20" i="6"/>
  <c r="BW20" i="6"/>
  <c r="BZ20" i="6"/>
  <c r="CA20" i="6"/>
  <c r="CB20" i="6"/>
  <c r="CC20" i="6"/>
  <c r="BL21" i="6"/>
  <c r="DZ21" i="6" s="1"/>
  <c r="BM21" i="6"/>
  <c r="BN21" i="6"/>
  <c r="BP21" i="6"/>
  <c r="BT21" i="6"/>
  <c r="BU21" i="6"/>
  <c r="BV21" i="6"/>
  <c r="BW21" i="6"/>
  <c r="BZ21" i="6"/>
  <c r="CA21" i="6"/>
  <c r="CB21" i="6"/>
  <c r="CC21" i="6"/>
  <c r="BL22" i="6"/>
  <c r="DZ22" i="6" s="1"/>
  <c r="BM22" i="6"/>
  <c r="BN22" i="6"/>
  <c r="BP22" i="6"/>
  <c r="BT22" i="6"/>
  <c r="BU22" i="6"/>
  <c r="BV22" i="6"/>
  <c r="BW22" i="6"/>
  <c r="BZ22" i="6"/>
  <c r="CA22" i="6"/>
  <c r="CB22" i="6"/>
  <c r="CC22" i="6"/>
  <c r="BL23" i="6"/>
  <c r="DZ23" i="6" s="1"/>
  <c r="BM23" i="6"/>
  <c r="BN23" i="6"/>
  <c r="BP23" i="6"/>
  <c r="BT23" i="6"/>
  <c r="BU23" i="6"/>
  <c r="BV23" i="6"/>
  <c r="BW23" i="6"/>
  <c r="BZ23" i="6"/>
  <c r="CA23" i="6"/>
  <c r="CB23" i="6"/>
  <c r="CC23" i="6"/>
  <c r="BL24" i="6"/>
  <c r="DZ24" i="6" s="1"/>
  <c r="BM24" i="6"/>
  <c r="BN24" i="6"/>
  <c r="BP24" i="6"/>
  <c r="BT24" i="6"/>
  <c r="BU24" i="6"/>
  <c r="BV24" i="6"/>
  <c r="BW24" i="6"/>
  <c r="BZ24" i="6"/>
  <c r="CA24" i="6"/>
  <c r="CB24" i="6"/>
  <c r="CC24" i="6"/>
  <c r="BL25" i="6"/>
  <c r="DZ25" i="6" s="1"/>
  <c r="BM25" i="6"/>
  <c r="BN25" i="6"/>
  <c r="BP25" i="6"/>
  <c r="BT25" i="6"/>
  <c r="BU25" i="6"/>
  <c r="BV25" i="6"/>
  <c r="BW25" i="6"/>
  <c r="BZ25" i="6"/>
  <c r="CA25" i="6"/>
  <c r="CB25" i="6"/>
  <c r="CC25" i="6"/>
  <c r="BL26" i="6"/>
  <c r="DZ26" i="6" s="1"/>
  <c r="BM26" i="6"/>
  <c r="BN26" i="6"/>
  <c r="BP26" i="6"/>
  <c r="BT26" i="6"/>
  <c r="BU26" i="6"/>
  <c r="BV26" i="6"/>
  <c r="BW26" i="6"/>
  <c r="BZ26" i="6"/>
  <c r="CA26" i="6"/>
  <c r="CB26" i="6"/>
  <c r="CC26" i="6"/>
  <c r="CB13" i="6"/>
  <c r="CA13" i="6"/>
  <c r="BZ13" i="6"/>
  <c r="BW13" i="6"/>
  <c r="BV13" i="6"/>
  <c r="BU13" i="6"/>
  <c r="BT13" i="6"/>
  <c r="BP13" i="6"/>
  <c r="BN13" i="6"/>
  <c r="BM13" i="6"/>
  <c r="BL13" i="6"/>
  <c r="DZ13" i="6" s="1"/>
  <c r="BC13" i="7" s="1"/>
  <c r="BH14" i="2"/>
  <c r="BI14" i="2"/>
  <c r="BJ14" i="2" s="1"/>
  <c r="BM14" i="2"/>
  <c r="BN14" i="2"/>
  <c r="BL14" i="2"/>
  <c r="BO14" i="2"/>
  <c r="BH15" i="2"/>
  <c r="BI15" i="2"/>
  <c r="BJ15" i="2" s="1"/>
  <c r="BN15" i="2"/>
  <c r="BL15" i="2"/>
  <c r="BO15" i="2"/>
  <c r="BH16" i="2"/>
  <c r="BI16" i="2"/>
  <c r="BM16" i="2"/>
  <c r="BN16" i="2"/>
  <c r="BL16" i="2"/>
  <c r="BO16" i="2"/>
  <c r="BH17" i="2"/>
  <c r="BI17" i="2"/>
  <c r="BM17" i="2"/>
  <c r="BN17" i="2"/>
  <c r="BL17" i="2"/>
  <c r="BO17" i="2"/>
  <c r="BF18" i="2"/>
  <c r="DH18" i="2" s="1"/>
  <c r="BG18" i="2"/>
  <c r="BH18" i="2"/>
  <c r="BI18" i="2"/>
  <c r="BK18" i="2" s="1"/>
  <c r="BM18" i="2"/>
  <c r="BN18" i="2"/>
  <c r="BO18" i="2"/>
  <c r="BS18" i="2"/>
  <c r="BT18" i="2"/>
  <c r="BU18" i="2"/>
  <c r="BY18" i="2"/>
  <c r="BZ18" i="2"/>
  <c r="CA18" i="2"/>
  <c r="BF19" i="2"/>
  <c r="DH19" i="2" s="1"/>
  <c r="BG19" i="2"/>
  <c r="BH19" i="2"/>
  <c r="BI19" i="2"/>
  <c r="BJ19" i="2" s="1"/>
  <c r="BM19" i="2"/>
  <c r="BN19" i="2"/>
  <c r="BO19" i="2"/>
  <c r="BS19" i="2"/>
  <c r="BT19" i="2"/>
  <c r="BU19" i="2"/>
  <c r="BY19" i="2"/>
  <c r="BZ19" i="2"/>
  <c r="CA19" i="2"/>
  <c r="BF20" i="2"/>
  <c r="DH20" i="2" s="1"/>
  <c r="BG20" i="2"/>
  <c r="BH20" i="2"/>
  <c r="BI20" i="2"/>
  <c r="BM20" i="2"/>
  <c r="BN20" i="2"/>
  <c r="BO20" i="2"/>
  <c r="BS20" i="2"/>
  <c r="BT20" i="2"/>
  <c r="BU20" i="2"/>
  <c r="BY20" i="2"/>
  <c r="BZ20" i="2"/>
  <c r="CA20" i="2"/>
  <c r="BF21" i="2"/>
  <c r="DH21" i="2" s="1"/>
  <c r="BG21" i="2"/>
  <c r="BH21" i="2"/>
  <c r="BI21" i="2"/>
  <c r="BM21" i="2"/>
  <c r="BN21" i="2"/>
  <c r="BO21" i="2"/>
  <c r="BS21" i="2"/>
  <c r="BT21" i="2"/>
  <c r="BU21" i="2"/>
  <c r="BY21" i="2"/>
  <c r="BZ21" i="2"/>
  <c r="CA21" i="2"/>
  <c r="BF22" i="2"/>
  <c r="DH22" i="2" s="1"/>
  <c r="BG22" i="2"/>
  <c r="BH22" i="2"/>
  <c r="BI22" i="2"/>
  <c r="BJ22" i="2" s="1"/>
  <c r="BM22" i="2"/>
  <c r="BN22" i="2"/>
  <c r="BO22" i="2"/>
  <c r="BS22" i="2"/>
  <c r="BT22" i="2"/>
  <c r="BU22" i="2"/>
  <c r="BY22" i="2"/>
  <c r="BZ22" i="2"/>
  <c r="CA22" i="2"/>
  <c r="BF23" i="2"/>
  <c r="DH23" i="2" s="1"/>
  <c r="BG23" i="2"/>
  <c r="BH23" i="2"/>
  <c r="BI23" i="2"/>
  <c r="BJ23" i="2" s="1"/>
  <c r="BM23" i="2"/>
  <c r="BN23" i="2"/>
  <c r="BO23" i="2"/>
  <c r="BS23" i="2"/>
  <c r="BT23" i="2"/>
  <c r="BU23" i="2"/>
  <c r="BY23" i="2"/>
  <c r="BZ23" i="2"/>
  <c r="CA23" i="2"/>
  <c r="BF24" i="2"/>
  <c r="DH24" i="2" s="1"/>
  <c r="BG24" i="2"/>
  <c r="BH24" i="2"/>
  <c r="BI24" i="2"/>
  <c r="BJ24" i="2" s="1"/>
  <c r="BM24" i="2"/>
  <c r="BN24" i="2"/>
  <c r="BO24" i="2"/>
  <c r="BS24" i="2"/>
  <c r="BT24" i="2"/>
  <c r="BU24" i="2"/>
  <c r="BY24" i="2"/>
  <c r="BZ24" i="2"/>
  <c r="CA24" i="2"/>
  <c r="BF25" i="2"/>
  <c r="DH25" i="2" s="1"/>
  <c r="BG25" i="2"/>
  <c r="BH25" i="2"/>
  <c r="BI25" i="2"/>
  <c r="BM25" i="2"/>
  <c r="BN25" i="2"/>
  <c r="BO25" i="2"/>
  <c r="BS25" i="2"/>
  <c r="BT25" i="2"/>
  <c r="BU25" i="2"/>
  <c r="BY25" i="2"/>
  <c r="BZ25" i="2"/>
  <c r="CA25" i="2"/>
  <c r="BF26" i="2"/>
  <c r="DH26" i="2" s="1"/>
  <c r="BG26" i="2"/>
  <c r="BH26" i="2"/>
  <c r="BI26" i="2"/>
  <c r="BM26" i="2"/>
  <c r="BN26" i="2"/>
  <c r="BO26" i="2"/>
  <c r="BS26" i="2"/>
  <c r="BT26" i="2"/>
  <c r="BU26" i="2"/>
  <c r="BY26" i="2"/>
  <c r="BZ26" i="2"/>
  <c r="CA26" i="2"/>
  <c r="CS14" i="2"/>
  <c r="CT14" i="2"/>
  <c r="CU14" i="2"/>
  <c r="CV14" i="2"/>
  <c r="CW14" i="2"/>
  <c r="CY14" i="2"/>
  <c r="DA14" i="2"/>
  <c r="DC14" i="2"/>
  <c r="DE14" i="2"/>
  <c r="CS15" i="2"/>
  <c r="CT15" i="2"/>
  <c r="CU15" i="2"/>
  <c r="CV15" i="2"/>
  <c r="CW15" i="2"/>
  <c r="CY15" i="2"/>
  <c r="DA15" i="2"/>
  <c r="DC15" i="2"/>
  <c r="DE15" i="2"/>
  <c r="CS16" i="2"/>
  <c r="CT16" i="2"/>
  <c r="CU16" i="2"/>
  <c r="CV16" i="2"/>
  <c r="CW16" i="2"/>
  <c r="CY16" i="2"/>
  <c r="DA16" i="2"/>
  <c r="DC16" i="2"/>
  <c r="DE16" i="2"/>
  <c r="CS17" i="2"/>
  <c r="CT17" i="2"/>
  <c r="CU17" i="2"/>
  <c r="CV17" i="2"/>
  <c r="CW17" i="2"/>
  <c r="CY17" i="2"/>
  <c r="DA17" i="2"/>
  <c r="DC17" i="2"/>
  <c r="DE17" i="2"/>
  <c r="CS18" i="2"/>
  <c r="CT18" i="2"/>
  <c r="CU18" i="2"/>
  <c r="CV18" i="2"/>
  <c r="CW18" i="2"/>
  <c r="CY18" i="2"/>
  <c r="DA18" i="2"/>
  <c r="DC18" i="2"/>
  <c r="DE18" i="2"/>
  <c r="CS19" i="2"/>
  <c r="CT19" i="2"/>
  <c r="CU19" i="2"/>
  <c r="CV19" i="2"/>
  <c r="CW19" i="2"/>
  <c r="CY19" i="2"/>
  <c r="DA19" i="2"/>
  <c r="DC19" i="2"/>
  <c r="DE19" i="2"/>
  <c r="CS20" i="2"/>
  <c r="CT20" i="2"/>
  <c r="CU20" i="2"/>
  <c r="CV20" i="2"/>
  <c r="CW20" i="2"/>
  <c r="CY20" i="2"/>
  <c r="DA20" i="2"/>
  <c r="DC20" i="2"/>
  <c r="DE20" i="2"/>
  <c r="CS21" i="2"/>
  <c r="CT21" i="2"/>
  <c r="CU21" i="2"/>
  <c r="CV21" i="2"/>
  <c r="CW21" i="2"/>
  <c r="CY21" i="2"/>
  <c r="DA21" i="2"/>
  <c r="DC21" i="2"/>
  <c r="DE21" i="2"/>
  <c r="CS22" i="2"/>
  <c r="CT22" i="2"/>
  <c r="CU22" i="2"/>
  <c r="CV22" i="2"/>
  <c r="CW22" i="2"/>
  <c r="CY22" i="2"/>
  <c r="DA22" i="2"/>
  <c r="DC22" i="2"/>
  <c r="DE22" i="2"/>
  <c r="CS23" i="2"/>
  <c r="CT23" i="2"/>
  <c r="CU23" i="2"/>
  <c r="CV23" i="2"/>
  <c r="CW23" i="2"/>
  <c r="CY23" i="2"/>
  <c r="DA23" i="2"/>
  <c r="DC23" i="2"/>
  <c r="DE23" i="2"/>
  <c r="CS24" i="2"/>
  <c r="CT24" i="2"/>
  <c r="CU24" i="2"/>
  <c r="CV24" i="2"/>
  <c r="CW24" i="2"/>
  <c r="CY24" i="2"/>
  <c r="DA24" i="2"/>
  <c r="DC24" i="2"/>
  <c r="DE24" i="2"/>
  <c r="CS25" i="2"/>
  <c r="CT25" i="2"/>
  <c r="CU25" i="2"/>
  <c r="CV25" i="2"/>
  <c r="CW25" i="2"/>
  <c r="CY25" i="2"/>
  <c r="DA25" i="2"/>
  <c r="DC25" i="2"/>
  <c r="DE25" i="2"/>
  <c r="CS26" i="2"/>
  <c r="CT26" i="2"/>
  <c r="CU26" i="2"/>
  <c r="CV26" i="2"/>
  <c r="CW26" i="2"/>
  <c r="CY26" i="2"/>
  <c r="DA26" i="2"/>
  <c r="DC26" i="2"/>
  <c r="DE26" i="2"/>
  <c r="CE17" i="6" l="1"/>
  <c r="CD17" i="6"/>
  <c r="CD16" i="6"/>
  <c r="CE16" i="6"/>
  <c r="CD15" i="6"/>
  <c r="CE15" i="6"/>
  <c r="CE13" i="6"/>
  <c r="CD13" i="6"/>
  <c r="CE14" i="6"/>
  <c r="CD14" i="6"/>
  <c r="BJ16" i="2"/>
  <c r="DX13" i="6"/>
  <c r="DX26" i="6"/>
  <c r="DX25" i="6"/>
  <c r="DX24" i="6"/>
  <c r="DX23" i="6"/>
  <c r="DX22" i="6"/>
  <c r="DX21" i="6"/>
  <c r="DX20" i="6"/>
  <c r="DX19" i="6"/>
  <c r="DX18" i="6"/>
  <c r="DX17" i="6"/>
  <c r="DX16" i="6"/>
  <c r="DX15" i="6"/>
  <c r="DX14" i="6"/>
  <c r="CB26" i="2"/>
  <c r="CC26" i="2"/>
  <c r="CC25" i="2"/>
  <c r="CB25" i="2"/>
  <c r="CB24" i="2"/>
  <c r="CC24" i="2"/>
  <c r="CB23" i="2"/>
  <c r="CC23" i="2"/>
  <c r="CB22" i="2"/>
  <c r="CC22" i="2"/>
  <c r="CC21" i="2"/>
  <c r="CB21" i="2"/>
  <c r="CB20" i="2"/>
  <c r="CC20" i="2"/>
  <c r="CB19" i="2"/>
  <c r="CC19" i="2"/>
  <c r="CB18" i="2"/>
  <c r="CC18" i="2"/>
  <c r="BV25" i="2"/>
  <c r="BW25" i="2"/>
  <c r="BW23" i="2"/>
  <c r="BV23" i="2"/>
  <c r="BV22" i="2"/>
  <c r="BW22" i="2"/>
  <c r="BW20" i="2"/>
  <c r="BV20" i="2"/>
  <c r="BV19" i="2"/>
  <c r="BW19" i="2"/>
  <c r="BV18" i="2"/>
  <c r="BW18" i="2"/>
  <c r="BV26" i="2"/>
  <c r="BW26" i="2"/>
  <c r="BW24" i="2"/>
  <c r="BV24" i="2"/>
  <c r="BV21" i="2"/>
  <c r="BW21" i="2"/>
  <c r="BJ13" i="2"/>
  <c r="BY16" i="6"/>
  <c r="BK13" i="2"/>
  <c r="BX21" i="6"/>
  <c r="BJ20" i="2"/>
  <c r="BK19" i="2"/>
  <c r="CZ13" i="6"/>
  <c r="CZ21" i="6"/>
  <c r="CZ18" i="6"/>
  <c r="CZ14" i="6"/>
  <c r="CQ18" i="6"/>
  <c r="BP18" i="2"/>
  <c r="BP16" i="2"/>
  <c r="BP14" i="2"/>
  <c r="BX26" i="6"/>
  <c r="BY24" i="6"/>
  <c r="CM24" i="6" s="1"/>
  <c r="BX22" i="6"/>
  <c r="BK22" i="2"/>
  <c r="CG19" i="2"/>
  <c r="BX18" i="6"/>
  <c r="BX17" i="6"/>
  <c r="CZ16" i="6"/>
  <c r="CF14" i="2"/>
  <c r="CQ26" i="6"/>
  <c r="CQ21" i="6"/>
  <c r="CG26" i="2"/>
  <c r="CM24" i="2"/>
  <c r="CQ25" i="6"/>
  <c r="BX24" i="6"/>
  <c r="BY21" i="6"/>
  <c r="CM21" i="6" s="1"/>
  <c r="CG20" i="2"/>
  <c r="CQ13" i="6"/>
  <c r="BP26" i="2"/>
  <c r="BK14" i="2"/>
  <c r="CQ22" i="6"/>
  <c r="CG16" i="2"/>
  <c r="BX16" i="6"/>
  <c r="BQ25" i="2"/>
  <c r="CD25" i="2" s="1"/>
  <c r="BQ22" i="2"/>
  <c r="CD22" i="2" s="1"/>
  <c r="CZ24" i="6"/>
  <c r="BY19" i="6"/>
  <c r="CM19" i="6" s="1"/>
  <c r="CQ14" i="6"/>
  <c r="CZ25" i="6"/>
  <c r="CQ24" i="6"/>
  <c r="BP13" i="2"/>
  <c r="CL24" i="2"/>
  <c r="CK22" i="2"/>
  <c r="BQ14" i="2"/>
  <c r="BX19" i="6"/>
  <c r="BX15" i="6"/>
  <c r="BQ26" i="2"/>
  <c r="CD26" i="2" s="1"/>
  <c r="BK15" i="2"/>
  <c r="BX25" i="6"/>
  <c r="CQ16" i="6"/>
  <c r="BX14" i="6"/>
  <c r="BX23" i="6"/>
  <c r="BY23" i="6"/>
  <c r="CM23" i="6" s="1"/>
  <c r="CP16" i="2"/>
  <c r="CZ26" i="6"/>
  <c r="CZ22" i="6"/>
  <c r="CZ19" i="6"/>
  <c r="CJ17" i="2"/>
  <c r="CP14" i="2"/>
  <c r="CP13" i="2"/>
  <c r="CQ23" i="6"/>
  <c r="CZ23" i="6"/>
  <c r="CZ17" i="6"/>
  <c r="CZ20" i="6"/>
  <c r="CQ20" i="6"/>
  <c r="BY20" i="6"/>
  <c r="CM20" i="6" s="1"/>
  <c r="CH13" i="2"/>
  <c r="CQ15" i="6"/>
  <c r="BY15" i="6"/>
  <c r="CZ15" i="6"/>
  <c r="CH15" i="2"/>
  <c r="BP15" i="2"/>
  <c r="BX20" i="6"/>
  <c r="BY26" i="6"/>
  <c r="CM26" i="6" s="1"/>
  <c r="BY18" i="6"/>
  <c r="CM18" i="6" s="1"/>
  <c r="CQ19" i="6"/>
  <c r="CQ17" i="6"/>
  <c r="BY22" i="6"/>
  <c r="CM22" i="6" s="1"/>
  <c r="BY14" i="6"/>
  <c r="BY25" i="6"/>
  <c r="CM25" i="6" s="1"/>
  <c r="BY17" i="6"/>
  <c r="CP26" i="2"/>
  <c r="BK23" i="2"/>
  <c r="BP21" i="2"/>
  <c r="CM16" i="2"/>
  <c r="CL20" i="2"/>
  <c r="CP24" i="2"/>
  <c r="CL16" i="2"/>
  <c r="CJ25" i="2"/>
  <c r="CH24" i="2"/>
  <c r="CK23" i="2"/>
  <c r="CP22" i="2"/>
  <c r="BP22" i="2"/>
  <c r="CJ21" i="2"/>
  <c r="CP19" i="2"/>
  <c r="CK16" i="2"/>
  <c r="CP21" i="2"/>
  <c r="CN21" i="2"/>
  <c r="CK18" i="2"/>
  <c r="CE24" i="2"/>
  <c r="CG18" i="2"/>
  <c r="CK20" i="2"/>
  <c r="CH23" i="2"/>
  <c r="CI20" i="2"/>
  <c r="BK26" i="2"/>
  <c r="CE25" i="2"/>
  <c r="BP25" i="2"/>
  <c r="CF22" i="2"/>
  <c r="BP20" i="2"/>
  <c r="BP19" i="2"/>
  <c r="CP18" i="2"/>
  <c r="CP17" i="2"/>
  <c r="CG14" i="2"/>
  <c r="CH20" i="2"/>
  <c r="CK14" i="2"/>
  <c r="CP20" i="2"/>
  <c r="CJ26" i="2"/>
  <c r="BJ26" i="2"/>
  <c r="BP24" i="2"/>
  <c r="BP23" i="2"/>
  <c r="BQ18" i="2"/>
  <c r="CD18" i="2" s="1"/>
  <c r="CP15" i="2"/>
  <c r="CG24" i="2"/>
  <c r="CF21" i="2"/>
  <c r="CE16" i="2"/>
  <c r="CF25" i="2"/>
  <c r="CP25" i="2"/>
  <c r="CG22" i="2"/>
  <c r="BQ21" i="2"/>
  <c r="CD21" i="2" s="1"/>
  <c r="CK24" i="2"/>
  <c r="CL19" i="2"/>
  <c r="BQ13" i="2"/>
  <c r="CK26" i="2"/>
  <c r="CH16" i="2"/>
  <c r="CK15" i="2"/>
  <c r="CI21" i="2"/>
  <c r="CJ18" i="2"/>
  <c r="BJ18" i="2"/>
  <c r="BP17" i="2"/>
  <c r="CF17" i="2"/>
  <c r="CE17" i="2"/>
  <c r="BQ17" i="2"/>
  <c r="CI25" i="2"/>
  <c r="CN18" i="2"/>
  <c r="CG15" i="2"/>
  <c r="CI26" i="2"/>
  <c r="CL25" i="2"/>
  <c r="CJ23" i="2"/>
  <c r="CM22" i="2"/>
  <c r="CE22" i="2"/>
  <c r="CH21" i="2"/>
  <c r="CN19" i="2"/>
  <c r="CF19" i="2"/>
  <c r="CI18" i="2"/>
  <c r="CL17" i="2"/>
  <c r="CJ15" i="2"/>
  <c r="CM14" i="2"/>
  <c r="CE14" i="2"/>
  <c r="BK25" i="2"/>
  <c r="BQ24" i="2"/>
  <c r="CD24" i="2" s="1"/>
  <c r="BK21" i="2"/>
  <c r="BQ20" i="2"/>
  <c r="CD20" i="2" s="1"/>
  <c r="BK17" i="2"/>
  <c r="BQ16" i="2"/>
  <c r="CH26" i="2"/>
  <c r="CK25" i="2"/>
  <c r="CN24" i="2"/>
  <c r="CF24" i="2"/>
  <c r="CI23" i="2"/>
  <c r="CL22" i="2"/>
  <c r="CG21" i="2"/>
  <c r="CJ20" i="2"/>
  <c r="CM19" i="2"/>
  <c r="CE19" i="2"/>
  <c r="CH18" i="2"/>
  <c r="CK17" i="2"/>
  <c r="CN16" i="2"/>
  <c r="CF16" i="2"/>
  <c r="CI15" i="2"/>
  <c r="CL14" i="2"/>
  <c r="CP23" i="2"/>
  <c r="BJ25" i="2"/>
  <c r="BJ21" i="2"/>
  <c r="BJ17" i="2"/>
  <c r="CN26" i="2"/>
  <c r="CF26" i="2"/>
  <c r="CG23" i="2"/>
  <c r="CJ22" i="2"/>
  <c r="CK19" i="2"/>
  <c r="CI17" i="2"/>
  <c r="CE26" i="2"/>
  <c r="CF23" i="2"/>
  <c r="CI22" i="2"/>
  <c r="CL21" i="2"/>
  <c r="CJ19" i="2"/>
  <c r="CM18" i="2"/>
  <c r="CF15" i="2"/>
  <c r="CI14" i="2"/>
  <c r="CL26" i="2"/>
  <c r="CG25" i="2"/>
  <c r="CJ24" i="2"/>
  <c r="CM23" i="2"/>
  <c r="CE23" i="2"/>
  <c r="CH22" i="2"/>
  <c r="CK21" i="2"/>
  <c r="CN20" i="2"/>
  <c r="CF20" i="2"/>
  <c r="CI19" i="2"/>
  <c r="CL18" i="2"/>
  <c r="CG17" i="2"/>
  <c r="CJ16" i="2"/>
  <c r="CM15" i="2"/>
  <c r="CE15" i="2"/>
  <c r="CH14" i="2"/>
  <c r="CE21" i="2"/>
  <c r="CF18" i="2"/>
  <c r="CJ14" i="2"/>
  <c r="CN25" i="2"/>
  <c r="CI24" i="2"/>
  <c r="CL23" i="2"/>
  <c r="CM20" i="2"/>
  <c r="CE20" i="2"/>
  <c r="CH19" i="2"/>
  <c r="CN17" i="2"/>
  <c r="CI16" i="2"/>
  <c r="CL15" i="2"/>
  <c r="BK24" i="2"/>
  <c r="BQ23" i="2"/>
  <c r="CD23" i="2" s="1"/>
  <c r="BK20" i="2"/>
  <c r="BQ19" i="2"/>
  <c r="CD19" i="2" s="1"/>
  <c r="BK16" i="2"/>
  <c r="BQ15" i="2"/>
  <c r="CM21" i="2"/>
  <c r="CM26" i="2"/>
  <c r="CH25" i="2"/>
  <c r="CN23" i="2"/>
  <c r="CE18" i="2"/>
  <c r="CH17" i="2"/>
  <c r="CN15" i="2"/>
  <c r="CM25" i="2"/>
  <c r="CN22" i="2"/>
  <c r="CM17" i="2"/>
  <c r="CN14" i="2"/>
  <c r="CD13" i="2" l="1"/>
  <c r="CM14" i="6"/>
  <c r="CM16" i="6"/>
  <c r="CD16" i="2"/>
  <c r="CM17" i="6"/>
  <c r="CD14" i="2"/>
  <c r="CD17" i="2"/>
  <c r="CM15" i="6"/>
  <c r="CD15" i="2"/>
  <c r="CO17" i="2"/>
  <c r="CO16" i="2"/>
  <c r="CO14" i="2"/>
  <c r="CO19" i="2"/>
  <c r="CO21" i="2"/>
  <c r="CO18" i="2"/>
  <c r="CO23" i="2"/>
  <c r="CO20" i="2"/>
  <c r="CO26" i="2"/>
  <c r="CO25" i="2"/>
  <c r="CO22" i="2"/>
  <c r="CO15" i="2"/>
  <c r="CO24" i="2"/>
  <c r="BY13" i="6" l="1"/>
  <c r="BX13" i="6"/>
  <c r="CN14" i="6"/>
  <c r="CO14" i="6"/>
  <c r="CP14" i="6"/>
  <c r="CS14" i="6"/>
  <c r="CT14" i="6"/>
  <c r="CU14" i="6"/>
  <c r="CV14" i="6"/>
  <c r="CW14" i="6"/>
  <c r="CX14" i="6"/>
  <c r="DF14" i="6"/>
  <c r="DM14" i="6"/>
  <c r="CN15" i="6"/>
  <c r="CO15" i="6"/>
  <c r="CP15" i="6"/>
  <c r="CS15" i="6"/>
  <c r="CT15" i="6"/>
  <c r="CU15" i="6"/>
  <c r="CV15" i="6"/>
  <c r="CW15" i="6"/>
  <c r="CX15" i="6"/>
  <c r="DF15" i="6"/>
  <c r="DM15" i="6"/>
  <c r="CN16" i="6"/>
  <c r="CO16" i="6"/>
  <c r="CP16" i="6"/>
  <c r="CS16" i="6"/>
  <c r="CT16" i="6"/>
  <c r="CU16" i="6"/>
  <c r="CV16" i="6"/>
  <c r="CW16" i="6"/>
  <c r="CX16" i="6"/>
  <c r="DF16" i="6"/>
  <c r="DM16" i="6"/>
  <c r="CN17" i="6"/>
  <c r="CO17" i="6"/>
  <c r="CP17" i="6"/>
  <c r="CS17" i="6"/>
  <c r="CT17" i="6"/>
  <c r="CU17" i="6"/>
  <c r="CV17" i="6"/>
  <c r="CW17" i="6"/>
  <c r="CX17" i="6"/>
  <c r="DF17" i="6"/>
  <c r="DM17" i="6"/>
  <c r="CN18" i="6"/>
  <c r="CO18" i="6"/>
  <c r="CP18" i="6"/>
  <c r="CS18" i="6"/>
  <c r="CT18" i="6"/>
  <c r="CU18" i="6"/>
  <c r="CV18" i="6"/>
  <c r="CW18" i="6"/>
  <c r="CX18" i="6"/>
  <c r="DF18" i="6"/>
  <c r="DM18" i="6"/>
  <c r="CN19" i="6"/>
  <c r="CO19" i="6"/>
  <c r="CP19" i="6"/>
  <c r="CS19" i="6"/>
  <c r="CT19" i="6"/>
  <c r="CU19" i="6"/>
  <c r="CV19" i="6"/>
  <c r="CW19" i="6"/>
  <c r="CX19" i="6"/>
  <c r="DF19" i="6"/>
  <c r="DM19" i="6"/>
  <c r="CN20" i="6"/>
  <c r="CO20" i="6"/>
  <c r="CP20" i="6"/>
  <c r="CS20" i="6"/>
  <c r="CT20" i="6"/>
  <c r="CU20" i="6"/>
  <c r="CV20" i="6"/>
  <c r="CW20" i="6"/>
  <c r="CX20" i="6"/>
  <c r="DF20" i="6"/>
  <c r="DM20" i="6"/>
  <c r="CN21" i="6"/>
  <c r="CO21" i="6"/>
  <c r="CP21" i="6"/>
  <c r="CS21" i="6"/>
  <c r="CT21" i="6"/>
  <c r="CU21" i="6"/>
  <c r="CV21" i="6"/>
  <c r="CW21" i="6"/>
  <c r="CX21" i="6"/>
  <c r="DF21" i="6"/>
  <c r="DM21" i="6"/>
  <c r="CN22" i="6"/>
  <c r="CO22" i="6"/>
  <c r="CP22" i="6"/>
  <c r="CS22" i="6"/>
  <c r="CT22" i="6"/>
  <c r="CU22" i="6"/>
  <c r="CV22" i="6"/>
  <c r="CW22" i="6"/>
  <c r="CX22" i="6"/>
  <c r="DF22" i="6"/>
  <c r="DM22" i="6"/>
  <c r="CN23" i="6"/>
  <c r="CO23" i="6"/>
  <c r="CP23" i="6"/>
  <c r="CS23" i="6"/>
  <c r="CT23" i="6"/>
  <c r="CU23" i="6"/>
  <c r="CV23" i="6"/>
  <c r="CW23" i="6"/>
  <c r="CX23" i="6"/>
  <c r="DF23" i="6"/>
  <c r="DM23" i="6"/>
  <c r="CN24" i="6"/>
  <c r="CO24" i="6"/>
  <c r="CP24" i="6"/>
  <c r="CS24" i="6"/>
  <c r="CT24" i="6"/>
  <c r="CU24" i="6"/>
  <c r="CV24" i="6"/>
  <c r="CW24" i="6"/>
  <c r="CX24" i="6"/>
  <c r="DF24" i="6"/>
  <c r="DM24" i="6"/>
  <c r="CN25" i="6"/>
  <c r="CO25" i="6"/>
  <c r="CP25" i="6"/>
  <c r="CS25" i="6"/>
  <c r="CT25" i="6"/>
  <c r="CU25" i="6"/>
  <c r="CV25" i="6"/>
  <c r="CW25" i="6"/>
  <c r="CX25" i="6"/>
  <c r="DF25" i="6"/>
  <c r="DM25" i="6"/>
  <c r="CN26" i="6"/>
  <c r="CO26" i="6"/>
  <c r="CP26" i="6"/>
  <c r="CS26" i="6"/>
  <c r="CT26" i="6"/>
  <c r="CU26" i="6"/>
  <c r="CV26" i="6"/>
  <c r="CW26" i="6"/>
  <c r="CX26" i="6"/>
  <c r="DF26" i="6"/>
  <c r="DM26" i="6"/>
  <c r="DF13" i="6"/>
  <c r="DM13" i="6"/>
  <c r="DG25" i="6" l="1"/>
  <c r="CM13" i="6"/>
  <c r="DG13" i="6"/>
  <c r="DG19" i="6"/>
  <c r="DG20" i="6"/>
  <c r="DJ23" i="6"/>
  <c r="DN23" i="6" s="1"/>
  <c r="DJ14" i="6"/>
  <c r="DN14" i="6" s="1"/>
  <c r="DG16" i="6"/>
  <c r="DJ26" i="6"/>
  <c r="DN26" i="6" s="1"/>
  <c r="DJ19" i="6"/>
  <c r="DN19" i="6" s="1"/>
  <c r="DJ20" i="6"/>
  <c r="DN20" i="6" s="1"/>
  <c r="DG21" i="6"/>
  <c r="DJ15" i="6"/>
  <c r="DN15" i="6" s="1"/>
  <c r="DJ24" i="6"/>
  <c r="DN24" i="6" s="1"/>
  <c r="DJ18" i="6"/>
  <c r="DN18" i="6" s="1"/>
  <c r="DG15" i="6"/>
  <c r="DG24" i="6"/>
  <c r="DG18" i="6"/>
  <c r="CL19" i="6"/>
  <c r="CL24" i="6"/>
  <c r="CL22" i="6"/>
  <c r="CL18" i="6"/>
  <c r="CL26" i="6"/>
  <c r="CL25" i="6"/>
  <c r="CL21" i="6"/>
  <c r="CL17" i="6"/>
  <c r="BS17" i="6" s="1"/>
  <c r="CL20" i="6"/>
  <c r="DG23" i="6"/>
  <c r="DJ22" i="6"/>
  <c r="DN22" i="6" s="1"/>
  <c r="DJ17" i="6"/>
  <c r="DN17" i="6" s="1"/>
  <c r="DG14" i="6"/>
  <c r="DG22" i="6"/>
  <c r="DJ21" i="6"/>
  <c r="DN21" i="6" s="1"/>
  <c r="DG17" i="6"/>
  <c r="DG26" i="6"/>
  <c r="DJ25" i="6"/>
  <c r="DN25" i="6" s="1"/>
  <c r="DJ16" i="6"/>
  <c r="DN16" i="6" s="1"/>
  <c r="CL14" i="6"/>
  <c r="CY25" i="6"/>
  <c r="CY23" i="6"/>
  <c r="CL23" i="6"/>
  <c r="BS23" i="6" s="1"/>
  <c r="CL15" i="6"/>
  <c r="CY26" i="6"/>
  <c r="CY22" i="6"/>
  <c r="CY18" i="6"/>
  <c r="CY14" i="6"/>
  <c r="CY24" i="6"/>
  <c r="CY20" i="6"/>
  <c r="CY16" i="6"/>
  <c r="CY21" i="6"/>
  <c r="CY19" i="6"/>
  <c r="CY17" i="6"/>
  <c r="CY15" i="6"/>
  <c r="CL16" i="6"/>
  <c r="DJ13" i="6"/>
  <c r="CW13" i="6"/>
  <c r="CU13" i="6"/>
  <c r="CT13" i="6"/>
  <c r="CS13" i="6"/>
  <c r="CP13" i="6"/>
  <c r="CX13" i="6"/>
  <c r="CV13" i="6"/>
  <c r="CO13" i="6"/>
  <c r="CN13" i="6"/>
  <c r="CM13" i="2"/>
  <c r="CK13" i="2"/>
  <c r="CI13" i="2"/>
  <c r="CG13" i="2"/>
  <c r="CE13" i="2"/>
  <c r="DE13" i="2"/>
  <c r="DC13" i="2"/>
  <c r="DA13" i="2"/>
  <c r="CY13" i="2"/>
  <c r="CW13" i="2"/>
  <c r="CV13" i="2"/>
  <c r="CU13" i="2"/>
  <c r="CT13" i="2"/>
  <c r="CS13" i="2"/>
  <c r="BS16" i="6" l="1"/>
  <c r="CR16" i="6" s="1"/>
  <c r="BS25" i="6"/>
  <c r="CR25" i="6" s="1"/>
  <c r="BS26" i="6"/>
  <c r="CR26" i="6" s="1"/>
  <c r="BS14" i="6"/>
  <c r="CR14" i="6" s="1"/>
  <c r="BS22" i="6"/>
  <c r="CR22" i="6" s="1"/>
  <c r="BS24" i="6"/>
  <c r="CR24" i="6" s="1"/>
  <c r="BS19" i="6"/>
  <c r="CR19" i="6" s="1"/>
  <c r="BS21" i="6"/>
  <c r="CR21" i="6" s="1"/>
  <c r="BS18" i="6"/>
  <c r="CR18" i="6" s="1"/>
  <c r="BS20" i="6"/>
  <c r="CR20" i="6" s="1"/>
  <c r="BS15" i="6"/>
  <c r="CR15" i="6" s="1"/>
  <c r="CR17" i="6"/>
  <c r="CR23" i="6"/>
  <c r="DD14" i="2"/>
  <c r="DD18" i="2"/>
  <c r="DD22" i="2"/>
  <c r="DD26" i="2"/>
  <c r="DD17" i="2"/>
  <c r="DD23" i="2"/>
  <c r="DD16" i="2"/>
  <c r="DD24" i="2"/>
  <c r="DD21" i="2"/>
  <c r="DD15" i="2"/>
  <c r="DD19" i="2"/>
  <c r="DD20" i="2"/>
  <c r="DD25" i="2"/>
  <c r="DB13" i="2"/>
  <c r="DB15" i="2"/>
  <c r="DB19" i="2"/>
  <c r="DB23" i="2"/>
  <c r="DB17" i="2"/>
  <c r="DB21" i="2"/>
  <c r="DB25" i="2"/>
  <c r="DB14" i="2"/>
  <c r="DB22" i="2"/>
  <c r="DB18" i="2"/>
  <c r="DB26" i="2"/>
  <c r="DB16" i="2"/>
  <c r="DB20" i="2"/>
  <c r="DB24" i="2"/>
  <c r="CX17" i="2"/>
  <c r="CX21" i="2"/>
  <c r="CX25" i="2"/>
  <c r="CX19" i="2"/>
  <c r="CX24" i="2"/>
  <c r="CX16" i="2"/>
  <c r="CX14" i="2"/>
  <c r="CX18" i="2"/>
  <c r="CX22" i="2"/>
  <c r="CX26" i="2"/>
  <c r="CX15" i="2"/>
  <c r="CX23" i="2"/>
  <c r="CX20" i="2"/>
  <c r="CZ16" i="2"/>
  <c r="CZ20" i="2"/>
  <c r="CZ24" i="2"/>
  <c r="CZ19" i="2"/>
  <c r="CZ22" i="2"/>
  <c r="CZ17" i="2"/>
  <c r="CZ21" i="2"/>
  <c r="CZ25" i="2"/>
  <c r="CZ18" i="2"/>
  <c r="CZ26" i="2"/>
  <c r="CZ14" i="2"/>
  <c r="CZ15" i="2"/>
  <c r="CZ23" i="2"/>
  <c r="DI13" i="6"/>
  <c r="DI19" i="6"/>
  <c r="DI22" i="6"/>
  <c r="DI15" i="6"/>
  <c r="DI17" i="6"/>
  <c r="DI25" i="6"/>
  <c r="DI20" i="6"/>
  <c r="DI23" i="6"/>
  <c r="DI16" i="6"/>
  <c r="DI18" i="6"/>
  <c r="DI26" i="6"/>
  <c r="DI24" i="6"/>
  <c r="DI14" i="6"/>
  <c r="DI21" i="6"/>
  <c r="DN13" i="6"/>
  <c r="CL13" i="6"/>
  <c r="BS13" i="6" s="1"/>
  <c r="CR13" i="6" s="1"/>
  <c r="DA13" i="6" s="1"/>
  <c r="CY13" i="6"/>
  <c r="CZ13" i="2"/>
  <c r="DD13" i="2"/>
  <c r="CX13" i="2"/>
  <c r="CL13" i="2"/>
  <c r="CJ13" i="2"/>
  <c r="DA21" i="6" l="1"/>
  <c r="DA20" i="6"/>
  <c r="DA25" i="6"/>
  <c r="DA26" i="6"/>
  <c r="DA14" i="6"/>
  <c r="DZ14" i="6" s="1"/>
  <c r="BC14" i="7" s="1"/>
  <c r="DA16" i="6"/>
  <c r="DZ16" i="6" s="1"/>
  <c r="DA24" i="6"/>
  <c r="DA18" i="6"/>
  <c r="DA23" i="6"/>
  <c r="DA19" i="6"/>
  <c r="DA15" i="6"/>
  <c r="DZ15" i="6" s="1"/>
  <c r="BC15" i="7" s="1"/>
  <c r="DA17" i="6"/>
  <c r="DZ17" i="6" s="1"/>
  <c r="DA22" i="6"/>
  <c r="CQ16" i="2"/>
  <c r="DH16" i="2" s="1"/>
  <c r="BC16" i="7" s="1"/>
  <c r="CQ26" i="2"/>
  <c r="CQ18" i="2"/>
  <c r="CQ23" i="2"/>
  <c r="CQ25" i="2"/>
  <c r="CQ22" i="2"/>
  <c r="CQ19" i="2"/>
  <c r="CQ14" i="2"/>
  <c r="CQ20" i="2"/>
  <c r="CQ21" i="2"/>
  <c r="CQ15" i="2"/>
  <c r="DH15" i="2" s="1"/>
  <c r="CQ17" i="2"/>
  <c r="DH17" i="2" s="1"/>
  <c r="BC17" i="7" s="1"/>
  <c r="CQ24" i="2"/>
  <c r="BA16" i="7" l="1"/>
  <c r="BA15" i="7"/>
  <c r="BA17" i="7"/>
  <c r="DH14" i="2"/>
  <c r="CF13" i="2"/>
  <c r="CN13" i="2"/>
  <c r="AY16" i="7" l="1"/>
  <c r="AZ16" i="7"/>
  <c r="BD16" i="7"/>
  <c r="BD15" i="7"/>
  <c r="BA14" i="7"/>
  <c r="AZ17" i="7"/>
  <c r="AY17" i="7"/>
  <c r="BD17" i="7"/>
  <c r="AZ15" i="7"/>
  <c r="AY15" i="7"/>
  <c r="CO13" i="2"/>
  <c r="AY14" i="7" l="1"/>
  <c r="AZ14" i="7"/>
  <c r="BD14" i="7"/>
  <c r="CQ13" i="2"/>
  <c r="DH13" i="2" s="1"/>
  <c r="AJ10" i="8"/>
  <c r="AK10" i="8" s="1"/>
  <c r="AJ7" i="8"/>
  <c r="AK7" i="8" s="1"/>
  <c r="AJ9" i="8"/>
  <c r="AK9" i="8" s="1"/>
  <c r="AJ8" i="8"/>
  <c r="AK8" i="8" s="1"/>
  <c r="AJ11" i="8"/>
  <c r="AK11" i="8" s="1"/>
  <c r="AY13" i="7" l="1"/>
  <c r="BA13" i="7" l="1"/>
  <c r="AZ13" i="7"/>
  <c r="BD13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<sst xmlns="http://schemas.openxmlformats.org/spreadsheetml/2006/main" count="459" uniqueCount="198">
  <si>
    <t>SeaGuardII DCP Power Calculator</t>
  </si>
  <si>
    <t>SeaGuardII DCP</t>
  </si>
  <si>
    <t>Temperature Sensor</t>
  </si>
  <si>
    <t xml:space="preserve">Oxygen Optode </t>
  </si>
  <si>
    <t>Selecting Broad Band
 or Narrow Band</t>
  </si>
  <si>
    <t>ZPulse Doppler Current Sensor</t>
  </si>
  <si>
    <t>Pressure Sensor</t>
  </si>
  <si>
    <t>Conductivity Sensor</t>
  </si>
  <si>
    <t>Turbidity Sensor</t>
  </si>
  <si>
    <t>Scenario</t>
  </si>
  <si>
    <t>Recording Group for DCPS (Doppler Current Profiler Sensor)</t>
  </si>
  <si>
    <t xml:space="preserve">
Recording Group for additional sensors</t>
  </si>
  <si>
    <t>Battery</t>
  </si>
  <si>
    <t>Power Consumption
Distribution</t>
  </si>
  <si>
    <t>Average Current Consumption</t>
  </si>
  <si>
    <t>Deployment Time</t>
  </si>
  <si>
    <t>Single Ping Standard Deviation</t>
  </si>
  <si>
    <t>Velocity precision (horizontal)</t>
  </si>
  <si>
    <t>Common</t>
  </si>
  <si>
    <t>Column1</t>
  </si>
  <si>
    <t>Column2</t>
  </si>
  <si>
    <t>Column3</t>
  </si>
  <si>
    <t>Acoustic Directional Wave
 Calculation</t>
  </si>
  <si>
    <t>Pressure</t>
  </si>
  <si>
    <t>Temperature</t>
  </si>
  <si>
    <t>Conductivity</t>
  </si>
  <si>
    <t>Oxygen</t>
  </si>
  <si>
    <t>Turbidity</t>
  </si>
  <si>
    <t>Wave &amp; Tide</t>
  </si>
  <si>
    <t>DCS
(Doppler Current Sensor, single point)</t>
  </si>
  <si>
    <t>Selection</t>
  </si>
  <si>
    <t>Usable Capacity</t>
  </si>
  <si>
    <t>Currents and
Data Logging</t>
  </si>
  <si>
    <t>Wave</t>
  </si>
  <si>
    <t>Additional
 Sensors</t>
  </si>
  <si>
    <t>Interval [min]</t>
  </si>
  <si>
    <t>Mode</t>
  </si>
  <si>
    <t>Number of pings</t>
  </si>
  <si>
    <t>Depth [m]</t>
  </si>
  <si>
    <t>Surface Cell</t>
  </si>
  <si>
    <t>Number of Cells</t>
  </si>
  <si>
    <t>Distance to first cell [m]</t>
  </si>
  <si>
    <t>Cell Size [m]</t>
  </si>
  <si>
    <t>Surface referenced</t>
  </si>
  <si>
    <t>Enabled</t>
  </si>
  <si>
    <t>Ping Frequency</t>
  </si>
  <si>
    <t>Wave Integration Time</t>
  </si>
  <si>
    <t xml:space="preserve">Interval [min] 
</t>
  </si>
  <si>
    <t>Number of sensors</t>
  </si>
  <si>
    <t>Sampling frequency</t>
  </si>
  <si>
    <t>Tidal average period</t>
  </si>
  <si>
    <t>Waves number of samples</t>
  </si>
  <si>
    <t xml:space="preserve">Enter total battery capacity in Ah or select battery option from drop down list
</t>
  </si>
  <si>
    <t>[Ah]</t>
  </si>
  <si>
    <t>[%]</t>
  </si>
  <si>
    <t xml:space="preserve"> [mA]</t>
  </si>
  <si>
    <t>[Days]</t>
  </si>
  <si>
    <t>[cm/s]</t>
  </si>
  <si>
    <t>Broad Band</t>
  </si>
  <si>
    <t>No</t>
  </si>
  <si>
    <t>Yes</t>
  </si>
  <si>
    <t>2 Hz</t>
  </si>
  <si>
    <t>25 min</t>
  </si>
  <si>
    <t>4 Hz</t>
  </si>
  <si>
    <t>20s</t>
  </si>
  <si>
    <t>1 x 3908 7V  Lithium (internal)</t>
  </si>
  <si>
    <t>Narrow Band</t>
  </si>
  <si>
    <t>2 x 3908 7V  Lithium (internal)</t>
  </si>
  <si>
    <t>20 min</t>
  </si>
  <si>
    <t>40s</t>
  </si>
  <si>
    <t>No wave!</t>
  </si>
  <si>
    <t>2 x 3988 9V Alkaline (internal)</t>
  </si>
  <si>
    <t>SeaguardII DCP Power Calculator</t>
  </si>
  <si>
    <t>Narrow Band Mode</t>
  </si>
  <si>
    <t>Configuration</t>
  </si>
  <si>
    <t xml:space="preserve">Average </t>
  </si>
  <si>
    <t>Column0</t>
  </si>
  <si>
    <t>Current Consumption</t>
  </si>
  <si>
    <t>min SD</t>
  </si>
  <si>
    <t>max SD</t>
  </si>
  <si>
    <t>Tot SD</t>
  </si>
  <si>
    <t>0,5m Cells</t>
  </si>
  <si>
    <t>1m Cells</t>
  </si>
  <si>
    <t>1,5m Cells</t>
  </si>
  <si>
    <t>2m Cells</t>
  </si>
  <si>
    <t>2,5m Cells</t>
  </si>
  <si>
    <t>3m Cells</t>
  </si>
  <si>
    <t>3,5m Cells</t>
  </si>
  <si>
    <t>4m cells</t>
  </si>
  <si>
    <t>4,5m Cells</t>
  </si>
  <si>
    <t>5m Cells</t>
  </si>
  <si>
    <t>Tx</t>
  </si>
  <si>
    <t>Col</t>
  </si>
  <si>
    <t>Current</t>
  </si>
  <si>
    <t>Amb</t>
  </si>
  <si>
    <t>Tx Offset</t>
  </si>
  <si>
    <t>Tx Slope</t>
  </si>
  <si>
    <t>Sample</t>
  </si>
  <si>
    <t>Cell05</t>
  </si>
  <si>
    <t>Cell1</t>
  </si>
  <si>
    <t>Cell1.5</t>
  </si>
  <si>
    <t>cell2</t>
  </si>
  <si>
    <t>Cell2.5</t>
  </si>
  <si>
    <t>cell3</t>
  </si>
  <si>
    <t>Cell3.5</t>
  </si>
  <si>
    <t>cell4</t>
  </si>
  <si>
    <t>Cell4.5</t>
  </si>
  <si>
    <t>cell5</t>
  </si>
  <si>
    <t>DCPS/Logger Quiescent</t>
  </si>
  <si>
    <t>Broad Band Mode</t>
  </si>
  <si>
    <t>Wave Calculation</t>
  </si>
  <si>
    <t>Interval [Min]</t>
  </si>
  <si>
    <t>DC1</t>
  </si>
  <si>
    <t>Cell Size</t>
  </si>
  <si>
    <t>#Cells</t>
  </si>
  <si>
    <t>Distance to first cell</t>
  </si>
  <si>
    <t>min tot SD</t>
  </si>
  <si>
    <t>0.5m Cells</t>
  </si>
  <si>
    <t>1.5m Cells</t>
  </si>
  <si>
    <t>Tot 2m Cells</t>
  </si>
  <si>
    <t>2.5m Cells</t>
  </si>
  <si>
    <t>3.5m Cells</t>
  </si>
  <si>
    <t>4.5m Cells</t>
  </si>
  <si>
    <t>SeaGuardII 
Recording Group for additional sensors</t>
  </si>
  <si>
    <t>TX</t>
  </si>
  <si>
    <t>SurfaceCell</t>
  </si>
  <si>
    <t>Cell2m</t>
  </si>
  <si>
    <t>Cell15</t>
  </si>
  <si>
    <t>Cell25</t>
  </si>
  <si>
    <t>Cell3</t>
  </si>
  <si>
    <t>Tot_Sum</t>
  </si>
  <si>
    <t>SumCell</t>
  </si>
  <si>
    <t>Cell45</t>
  </si>
  <si>
    <t>Cell35</t>
  </si>
  <si>
    <t>Cell4</t>
  </si>
  <si>
    <t>Cell5</t>
  </si>
  <si>
    <t>Integration time
(s)</t>
  </si>
  <si>
    <t>Ping Frequency
(Hz)</t>
  </si>
  <si>
    <t>No.Pings</t>
  </si>
  <si>
    <t>mAh/
ping</t>
  </si>
  <si>
    <t>Average current Consumption</t>
  </si>
  <si>
    <t>Dist First Cell</t>
  </si>
  <si>
    <t>True/False</t>
  </si>
  <si>
    <t>Interval</t>
  </si>
  <si>
    <t>Wave &amp; Tide sensor</t>
  </si>
  <si>
    <t>Frequency</t>
  </si>
  <si>
    <t>Number of Samples</t>
  </si>
  <si>
    <t>Tidal Average period</t>
  </si>
  <si>
    <t>No of sensors</t>
  </si>
  <si>
    <t>Cellsize</t>
  </si>
  <si>
    <t>5 min</t>
  </si>
  <si>
    <t>10 min</t>
  </si>
  <si>
    <t>10s</t>
  </si>
  <si>
    <t>15 min</t>
  </si>
  <si>
    <t>30s</t>
  </si>
  <si>
    <t>30 min</t>
  </si>
  <si>
    <t>50s</t>
  </si>
  <si>
    <t>1 min</t>
  </si>
  <si>
    <t>2 min</t>
  </si>
  <si>
    <t>3 min</t>
  </si>
  <si>
    <t>4 min</t>
  </si>
  <si>
    <t>6 min</t>
  </si>
  <si>
    <t>7 min</t>
  </si>
  <si>
    <t>8 min</t>
  </si>
  <si>
    <t>DCS Pings</t>
  </si>
  <si>
    <t>Ah</t>
  </si>
  <si>
    <t>1 x 3988 9V Alkaline  (internal)</t>
  </si>
  <si>
    <t>1 x 4021 12V 28Ah  Lead Rechargable (external)</t>
  </si>
  <si>
    <t>2 x 4021 12V 28Ah Lead Rechargable (external)</t>
  </si>
  <si>
    <t>3 x 4021 12V 28Ah Lead Rechargable (external)</t>
  </si>
  <si>
    <t>Second Group</t>
  </si>
  <si>
    <t>Average power consumption [mA]</t>
  </si>
  <si>
    <t>DCS</t>
  </si>
  <si>
    <t>Interval (s)</t>
  </si>
  <si>
    <t>No. of Pings</t>
  </si>
  <si>
    <t>Pingrate</t>
  </si>
  <si>
    <t>Quiescent</t>
  </si>
  <si>
    <t>Current/pingrate</t>
  </si>
  <si>
    <t>Avr Current(mA)</t>
  </si>
  <si>
    <t>B13</t>
  </si>
  <si>
    <t>B14</t>
  </si>
  <si>
    <t>Avvik</t>
  </si>
  <si>
    <t>B15</t>
  </si>
  <si>
    <t>Interval (min)</t>
  </si>
  <si>
    <t>Pings</t>
  </si>
  <si>
    <t>B16</t>
  </si>
  <si>
    <t>B17</t>
  </si>
  <si>
    <t>WT Current drain mA</t>
  </si>
  <si>
    <t>T CURRENT DRAIN:</t>
  </si>
  <si>
    <t>P CURRENT DRAIN</t>
  </si>
  <si>
    <t>Average current drain</t>
  </si>
  <si>
    <t>Number of samples</t>
  </si>
  <si>
    <t>Wave Coefficient:</t>
  </si>
  <si>
    <t>Tide Coefficients</t>
  </si>
  <si>
    <t>AiCaP mode</t>
  </si>
  <si>
    <t>RS-232 mode</t>
  </si>
  <si>
    <t>RS-422 mode</t>
  </si>
  <si>
    <t>Third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</si>
</sst>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7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9" fillId="6" borderId="8" applyNumberFormat="0" applyAlignment="0" applyProtection="0"/>
    <xf numFmtId="0" fontId="10" fillId="7" borderId="16" applyNumberFormat="0" applyAlignment="0" applyProtection="0"/>
    <xf numFmtId="0" fontId="10" fillId="7" borderId="16"/>
    <xf numFmtId="9" fontId="15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249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0" fillId="3" borderId="0" xfId="0" applyFill="1"/>
    <xf numFmtId="0" fontId="5" fillId="3" borderId="0" xfId="0" applyFont="1" applyFill="1"/>
    <xf numFmtId="0" fontId="0" fillId="0" borderId="0" xfId="0" applyProtection="1">
      <protection locked="0"/>
    </xf>
    <xf numFmtId="0" fontId="7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2" fontId="0" fillId="5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49" fontId="0" fillId="4" borderId="1" xfId="0" applyNumberFormat="1" applyFill="1" applyBorder="1" applyAlignment="1">
      <alignment horizontal="center" vertical="center" wrapText="1"/>
    </xf>
    <xf numFmtId="0" fontId="1" fillId="2" borderId="0" xfId="1"/>
    <xf numFmtId="0" fontId="1" fillId="2" borderId="0" xfId="1" applyAlignment="1"/>
    <xf numFmtId="49" fontId="1" fillId="2" borderId="1" xfId="1" applyNumberFormat="1" applyBorder="1" applyAlignment="1">
      <alignment horizontal="center" vertical="center" wrapText="1"/>
    </xf>
    <xf numFmtId="0" fontId="1" fillId="2" borderId="1" xfId="1" applyBorder="1" applyAlignment="1">
      <alignment horizontal="center"/>
    </xf>
    <xf numFmtId="0" fontId="1" fillId="2" borderId="0" xfId="1" applyAlignment="1">
      <alignment horizontal="center"/>
    </xf>
    <xf numFmtId="0" fontId="1" fillId="2" borderId="4" xfId="1" applyBorder="1" applyAlignment="1"/>
    <xf numFmtId="0" fontId="1" fillId="2" borderId="4" xfId="1" applyBorder="1" applyAlignment="1">
      <alignment horizontal="center"/>
    </xf>
    <xf numFmtId="0" fontId="1" fillId="2" borderId="2" xfId="1" applyBorder="1" applyAlignment="1">
      <alignment horizontal="center"/>
    </xf>
    <xf numFmtId="0" fontId="1" fillId="2" borderId="1" xfId="1" applyBorder="1"/>
    <xf numFmtId="0" fontId="1" fillId="2" borderId="1" xfId="1" applyBorder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9" fillId="6" borderId="0" xfId="2" applyBorder="1" applyAlignment="1"/>
    <xf numFmtId="0" fontId="10" fillId="0" borderId="0" xfId="3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left"/>
    </xf>
    <xf numFmtId="1" fontId="10" fillId="7" borderId="1" xfId="3" applyNumberFormat="1" applyBorder="1" applyAlignment="1">
      <alignment horizontal="center"/>
    </xf>
    <xf numFmtId="1" fontId="10" fillId="7" borderId="19" xfId="3" applyNumberFormat="1" applyBorder="1" applyAlignment="1">
      <alignment horizontal="center"/>
    </xf>
    <xf numFmtId="1" fontId="10" fillId="7" borderId="17" xfId="3" applyNumberFormat="1" applyBorder="1" applyAlignment="1">
      <alignment horizontal="center"/>
    </xf>
    <xf numFmtId="1" fontId="10" fillId="7" borderId="18" xfId="3" applyNumberFormat="1" applyBorder="1" applyAlignment="1">
      <alignment horizontal="center"/>
    </xf>
    <xf numFmtId="0" fontId="10" fillId="7" borderId="23" xfId="3" applyBorder="1" applyAlignment="1">
      <alignment wrapText="1"/>
    </xf>
    <xf numFmtId="0" fontId="10" fillId="7" borderId="24" xfId="3" applyBorder="1" applyAlignment="1">
      <alignment wrapText="1"/>
    </xf>
    <xf numFmtId="1" fontId="10" fillId="7" borderId="25" xfId="3" applyNumberFormat="1" applyBorder="1" applyAlignment="1">
      <alignment horizontal="center"/>
    </xf>
    <xf numFmtId="1" fontId="10" fillId="7" borderId="26" xfId="3" applyNumberFormat="1" applyBorder="1" applyAlignment="1">
      <alignment horizontal="center"/>
    </xf>
    <xf numFmtId="2" fontId="10" fillId="7" borderId="26" xfId="3" applyNumberFormat="1" applyBorder="1" applyAlignment="1">
      <alignment horizontal="center"/>
    </xf>
    <xf numFmtId="2" fontId="10" fillId="0" borderId="0" xfId="3" applyNumberFormat="1" applyFill="1" applyBorder="1" applyAlignment="1">
      <alignment horizontal="center"/>
    </xf>
    <xf numFmtId="0" fontId="10" fillId="7" borderId="26" xfId="3" applyNumberFormat="1" applyBorder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0" fillId="7" borderId="27" xfId="3" applyBorder="1" applyAlignment="1">
      <alignment wrapText="1"/>
    </xf>
    <xf numFmtId="2" fontId="10" fillId="7" borderId="28" xfId="3" applyNumberFormat="1" applyBorder="1" applyAlignment="1">
      <alignment horizontal="center"/>
    </xf>
    <xf numFmtId="0" fontId="10" fillId="7" borderId="1" xfId="3" applyBorder="1" applyAlignment="1">
      <alignment wrapText="1"/>
    </xf>
    <xf numFmtId="0" fontId="0" fillId="0" borderId="14" xfId="0" applyBorder="1" applyAlignment="1">
      <alignment horizontal="center"/>
    </xf>
    <xf numFmtId="0" fontId="10" fillId="7" borderId="16" xfId="3"/>
    <xf numFmtId="0" fontId="11" fillId="0" borderId="1" xfId="0" applyFont="1" applyBorder="1" applyAlignment="1" applyProtection="1">
      <alignment horizontal="center"/>
      <protection locked="0"/>
    </xf>
    <xf numFmtId="0" fontId="1" fillId="2" borderId="1" xfId="1" applyBorder="1" applyAlignment="1" applyProtection="1">
      <alignment horizontal="center"/>
      <protection locked="0"/>
    </xf>
    <xf numFmtId="0" fontId="0" fillId="3" borderId="0" xfId="0" applyFill="1" applyAlignment="1">
      <alignment textRotation="90"/>
    </xf>
    <xf numFmtId="0" fontId="0" fillId="0" borderId="0" xfId="0" applyAlignment="1">
      <alignment textRotation="90"/>
    </xf>
    <xf numFmtId="49" fontId="0" fillId="4" borderId="1" xfId="0" applyNumberFormat="1" applyFill="1" applyBorder="1" applyAlignment="1">
      <alignment horizontal="center" vertical="center" textRotation="90" wrapText="1"/>
    </xf>
    <xf numFmtId="0" fontId="0" fillId="3" borderId="0" xfId="0" applyFill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7" fillId="4" borderId="13" xfId="0" applyFont="1" applyFill="1" applyBorder="1" applyAlignment="1">
      <alignment horizontal="center" textRotation="90" wrapText="1"/>
    </xf>
    <xf numFmtId="164" fontId="12" fillId="5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 vertical="center" textRotation="90" wrapText="1"/>
    </xf>
    <xf numFmtId="49" fontId="3" fillId="4" borderId="33" xfId="0" applyNumberFormat="1" applyFont="1" applyFill="1" applyBorder="1" applyAlignment="1">
      <alignment horizontal="center" vertical="center" textRotation="90" wrapText="1"/>
    </xf>
    <xf numFmtId="0" fontId="0" fillId="0" borderId="17" xfId="0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49" fontId="3" fillId="4" borderId="37" xfId="0" applyNumberFormat="1" applyFont="1" applyFill="1" applyBorder="1" applyAlignment="1">
      <alignment horizontal="center" vertical="center" textRotation="90" wrapText="1"/>
    </xf>
    <xf numFmtId="0" fontId="0" fillId="0" borderId="3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49" fontId="0" fillId="4" borderId="17" xfId="0" applyNumberFormat="1" applyFill="1" applyBorder="1" applyAlignment="1">
      <alignment horizontal="center" vertical="center" textRotation="90" wrapText="1"/>
    </xf>
    <xf numFmtId="49" fontId="0" fillId="4" borderId="33" xfId="0" applyNumberFormat="1" applyFill="1" applyBorder="1" applyAlignment="1">
      <alignment horizontal="center" vertical="center" textRotation="90" wrapText="1"/>
    </xf>
    <xf numFmtId="0" fontId="0" fillId="4" borderId="39" xfId="0" applyFill="1" applyBorder="1" applyAlignment="1">
      <alignment horizontal="center" textRotation="90"/>
    </xf>
    <xf numFmtId="49" fontId="0" fillId="4" borderId="37" xfId="0" applyNumberFormat="1" applyFill="1" applyBorder="1" applyAlignment="1">
      <alignment horizontal="center" vertical="center" textRotation="90" wrapText="1"/>
    </xf>
    <xf numFmtId="0" fontId="0" fillId="8" borderId="37" xfId="0" applyFill="1" applyBorder="1" applyAlignment="1" applyProtection="1">
      <alignment horizontal="center"/>
      <protection locked="0"/>
    </xf>
    <xf numFmtId="0" fontId="0" fillId="8" borderId="38" xfId="0" applyFill="1" applyBorder="1" applyAlignment="1" applyProtection="1">
      <alignment horizontal="center"/>
      <protection locked="0"/>
    </xf>
    <xf numFmtId="0" fontId="0" fillId="8" borderId="17" xfId="0" applyFill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0" fillId="8" borderId="18" xfId="0" applyFill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3" fillId="4" borderId="17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164" fontId="12" fillId="5" borderId="33" xfId="0" applyNumberFormat="1" applyFont="1" applyFill="1" applyBorder="1" applyAlignment="1">
      <alignment horizontal="center"/>
    </xf>
    <xf numFmtId="164" fontId="12" fillId="5" borderId="34" xfId="0" applyNumberFormat="1" applyFont="1" applyFill="1" applyBorder="1" applyAlignment="1">
      <alignment horizontal="center"/>
    </xf>
    <xf numFmtId="0" fontId="7" fillId="4" borderId="41" xfId="0" applyFont="1" applyFill="1" applyBorder="1" applyAlignment="1">
      <alignment horizontal="center" textRotation="90" wrapText="1"/>
    </xf>
    <xf numFmtId="0" fontId="7" fillId="4" borderId="40" xfId="0" applyFont="1" applyFill="1" applyBorder="1" applyAlignment="1">
      <alignment horizontal="center" textRotation="90" wrapText="1"/>
    </xf>
    <xf numFmtId="164" fontId="12" fillId="5" borderId="17" xfId="0" applyNumberFormat="1" applyFont="1" applyFill="1" applyBorder="1" applyAlignment="1">
      <alignment horizontal="center"/>
    </xf>
    <xf numFmtId="164" fontId="12" fillId="5" borderId="18" xfId="0" applyNumberFormat="1" applyFont="1" applyFill="1" applyBorder="1" applyAlignment="1">
      <alignment horizontal="center"/>
    </xf>
    <xf numFmtId="164" fontId="12" fillId="5" borderId="19" xfId="0" applyNumberFormat="1" applyFont="1" applyFill="1" applyBorder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49" fontId="0" fillId="4" borderId="43" xfId="0" applyNumberFormat="1" applyFill="1" applyBorder="1" applyAlignment="1">
      <alignment horizontal="center" vertical="center" textRotation="90" wrapText="1"/>
    </xf>
    <xf numFmtId="49" fontId="0" fillId="4" borderId="6" xfId="0" applyNumberFormat="1" applyFill="1" applyBorder="1" applyAlignment="1">
      <alignment horizontal="center" vertical="center" textRotation="90" wrapText="1"/>
    </xf>
    <xf numFmtId="0" fontId="1" fillId="2" borderId="0" xfId="1" applyBorder="1"/>
    <xf numFmtId="0" fontId="1" fillId="10" borderId="0" xfId="1" applyFill="1"/>
    <xf numFmtId="0" fontId="1" fillId="10" borderId="10" xfId="1" applyFill="1" applyBorder="1"/>
    <xf numFmtId="0" fontId="1" fillId="10" borderId="11" xfId="1" applyFill="1" applyBorder="1"/>
    <xf numFmtId="0" fontId="1" fillId="10" borderId="13" xfId="1" applyFill="1" applyBorder="1"/>
    <xf numFmtId="0" fontId="1" fillId="10" borderId="14" xfId="1" applyFill="1" applyBorder="1"/>
    <xf numFmtId="0" fontId="1" fillId="10" borderId="15" xfId="1" applyFill="1" applyBorder="1"/>
    <xf numFmtId="0" fontId="11" fillId="10" borderId="9" xfId="1" applyFont="1" applyFill="1" applyBorder="1"/>
    <xf numFmtId="0" fontId="11" fillId="10" borderId="1" xfId="1" applyFont="1" applyFill="1" applyBorder="1" applyAlignment="1">
      <alignment wrapText="1"/>
    </xf>
    <xf numFmtId="0" fontId="14" fillId="10" borderId="1" xfId="1" applyFont="1" applyFill="1" applyBorder="1"/>
    <xf numFmtId="165" fontId="14" fillId="10" borderId="1" xfId="1" applyNumberFormat="1" applyFont="1" applyFill="1" applyBorder="1"/>
    <xf numFmtId="2" fontId="0" fillId="0" borderId="12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49" fontId="0" fillId="4" borderId="2" xfId="0" applyNumberFormat="1" applyFill="1" applyBorder="1" applyAlignment="1">
      <alignment horizontal="center" vertical="center" textRotation="90" wrapText="1"/>
    </xf>
    <xf numFmtId="49" fontId="0" fillId="4" borderId="9" xfId="0" applyNumberFormat="1" applyFill="1" applyBorder="1" applyAlignment="1">
      <alignment horizontal="center" vertical="center" textRotation="90" wrapText="1"/>
    </xf>
    <xf numFmtId="0" fontId="1" fillId="2" borderId="0" xfId="1" applyBorder="1" applyAlignment="1">
      <alignment horizontal="center" vertical="center" wrapText="1"/>
    </xf>
    <xf numFmtId="0" fontId="11" fillId="7" borderId="45" xfId="3" applyNumberFormat="1" applyFont="1" applyBorder="1"/>
    <xf numFmtId="0" fontId="11" fillId="7" borderId="46" xfId="3" applyNumberFormat="1" applyFont="1" applyBorder="1"/>
    <xf numFmtId="0" fontId="11" fillId="7" borderId="47" xfId="3" applyNumberFormat="1" applyFont="1" applyBorder="1"/>
    <xf numFmtId="0" fontId="11" fillId="7" borderId="39" xfId="3" applyNumberFormat="1" applyFont="1" applyBorder="1"/>
    <xf numFmtId="0" fontId="11" fillId="7" borderId="37" xfId="3" applyNumberFormat="1" applyFont="1" applyBorder="1"/>
    <xf numFmtId="0" fontId="3" fillId="4" borderId="37" xfId="0" applyFont="1" applyFill="1" applyBorder="1" applyAlignment="1">
      <alignment horizontal="center" vertical="center" wrapText="1"/>
    </xf>
    <xf numFmtId="0" fontId="4" fillId="3" borderId="0" xfId="0" applyFont="1" applyFill="1"/>
    <xf numFmtId="0" fontId="2" fillId="3" borderId="0" xfId="0" applyFont="1" applyFill="1" applyAlignment="1">
      <alignment horizontal="left"/>
    </xf>
    <xf numFmtId="0" fontId="0" fillId="4" borderId="1" xfId="0" applyFill="1" applyBorder="1" applyAlignment="1">
      <alignment textRotation="90"/>
    </xf>
    <xf numFmtId="0" fontId="0" fillId="4" borderId="1" xfId="0" applyFill="1" applyBorder="1" applyAlignment="1">
      <alignment horizontal="center" vertical="center" textRotation="90" wrapText="1"/>
    </xf>
    <xf numFmtId="0" fontId="0" fillId="4" borderId="33" xfId="0" applyFill="1" applyBorder="1" applyAlignment="1">
      <alignment textRotation="90" wrapText="1"/>
    </xf>
    <xf numFmtId="0" fontId="0" fillId="4" borderId="17" xfId="0" applyFill="1" applyBorder="1" applyAlignment="1">
      <alignment horizontal="center" vertical="center" textRotation="90" wrapText="1"/>
    </xf>
    <xf numFmtId="0" fontId="0" fillId="4" borderId="33" xfId="0" applyFill="1" applyBorder="1" applyAlignment="1">
      <alignment horizontal="center" vertical="center" textRotation="90" wrapText="1"/>
    </xf>
    <xf numFmtId="9" fontId="0" fillId="4" borderId="33" xfId="5" applyFont="1" applyFill="1" applyBorder="1"/>
    <xf numFmtId="0" fontId="5" fillId="0" borderId="0" xfId="0" applyFont="1"/>
    <xf numFmtId="0" fontId="0" fillId="0" borderId="1" xfId="0" applyBorder="1" applyAlignment="1">
      <alignment horizontal="left"/>
    </xf>
    <xf numFmtId="0" fontId="0" fillId="4" borderId="36" xfId="0" applyFill="1" applyBorder="1" applyAlignment="1">
      <alignment textRotation="90" wrapText="1"/>
    </xf>
    <xf numFmtId="0" fontId="0" fillId="4" borderId="36" xfId="0" applyFill="1" applyBorder="1" applyAlignment="1">
      <alignment textRotation="90"/>
    </xf>
    <xf numFmtId="9" fontId="0" fillId="4" borderId="17" xfId="5" applyFont="1" applyFill="1" applyBorder="1"/>
    <xf numFmtId="9" fontId="0" fillId="4" borderId="1" xfId="5" applyFont="1" applyFill="1" applyBorder="1"/>
    <xf numFmtId="0" fontId="0" fillId="9" borderId="7" xfId="0" applyFill="1" applyBorder="1"/>
    <xf numFmtId="0" fontId="0" fillId="0" borderId="22" xfId="0" applyBorder="1"/>
    <xf numFmtId="0" fontId="0" fillId="9" borderId="3" xfId="0" applyFill="1" applyBorder="1"/>
    <xf numFmtId="0" fontId="0" fillId="9" borderId="50" xfId="0" applyFill="1" applyBorder="1"/>
    <xf numFmtId="0" fontId="0" fillId="0" borderId="20" xfId="0" applyBorder="1"/>
    <xf numFmtId="0" fontId="0" fillId="0" borderId="21" xfId="0" applyBorder="1"/>
    <xf numFmtId="0" fontId="0" fillId="9" borderId="13" xfId="0" applyFill="1" applyBorder="1"/>
    <xf numFmtId="165" fontId="0" fillId="0" borderId="1" xfId="0" applyNumberFormat="1" applyBorder="1"/>
    <xf numFmtId="2" fontId="0" fillId="0" borderId="1" xfId="0" applyNumberFormat="1" applyBorder="1"/>
    <xf numFmtId="165" fontId="0" fillId="9" borderId="17" xfId="0" applyNumberFormat="1" applyFill="1" applyBorder="1"/>
    <xf numFmtId="165" fontId="0" fillId="9" borderId="1" xfId="0" applyNumberFormat="1" applyFill="1" applyBorder="1"/>
    <xf numFmtId="165" fontId="0" fillId="9" borderId="3" xfId="0" applyNumberFormat="1" applyFill="1" applyBorder="1"/>
    <xf numFmtId="0" fontId="16" fillId="3" borderId="0" xfId="6" applyFill="1" applyAlignment="1"/>
    <xf numFmtId="0" fontId="16" fillId="3" borderId="0" xfId="6" applyFill="1"/>
    <xf numFmtId="0" fontId="16" fillId="3" borderId="0" xfId="6" applyFill="1" applyAlignment="1">
      <alignment vertical="center"/>
    </xf>
    <xf numFmtId="0" fontId="0" fillId="4" borderId="36" xfId="0" applyFill="1" applyBorder="1" applyAlignment="1">
      <alignment horizontal="center"/>
    </xf>
    <xf numFmtId="0" fontId="0" fillId="4" borderId="51" xfId="0" applyFill="1" applyBorder="1" applyAlignment="1">
      <alignment horizontal="center"/>
    </xf>
    <xf numFmtId="164" fontId="12" fillId="5" borderId="37" xfId="0" applyNumberFormat="1" applyFont="1" applyFill="1" applyBorder="1" applyAlignment="1">
      <alignment horizontal="center"/>
    </xf>
    <xf numFmtId="164" fontId="12" fillId="5" borderId="38" xfId="0" applyNumberFormat="1" applyFont="1" applyFill="1" applyBorder="1" applyAlignment="1">
      <alignment horizontal="center"/>
    </xf>
    <xf numFmtId="9" fontId="0" fillId="4" borderId="18" xfId="5" applyFont="1" applyFill="1" applyBorder="1"/>
    <xf numFmtId="9" fontId="0" fillId="4" borderId="19" xfId="5" applyFont="1" applyFill="1" applyBorder="1"/>
    <xf numFmtId="9" fontId="0" fillId="4" borderId="34" xfId="5" applyFont="1" applyFill="1" applyBorder="1"/>
    <xf numFmtId="0" fontId="0" fillId="4" borderId="33" xfId="0" applyFill="1" applyBorder="1" applyAlignment="1">
      <alignment horizontal="center" textRotation="90"/>
    </xf>
    <xf numFmtId="0" fontId="0" fillId="4" borderId="17" xfId="0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 textRotation="90" wrapText="1"/>
    </xf>
    <xf numFmtId="0" fontId="11" fillId="0" borderId="3" xfId="0" applyFont="1" applyBorder="1" applyAlignment="1" applyProtection="1">
      <alignment horizontal="center"/>
      <protection locked="0"/>
    </xf>
    <xf numFmtId="49" fontId="3" fillId="4" borderId="54" xfId="0" applyNumberFormat="1" applyFont="1" applyFill="1" applyBorder="1" applyAlignment="1">
      <alignment horizontal="center" vertical="center" textRotation="90" wrapText="1"/>
    </xf>
    <xf numFmtId="0" fontId="0" fillId="0" borderId="54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4" borderId="56" xfId="0" applyFill="1" applyBorder="1" applyAlignment="1">
      <alignment horizontal="center" textRotation="90" wrapText="1"/>
    </xf>
    <xf numFmtId="0" fontId="0" fillId="4" borderId="17" xfId="0" applyFill="1" applyBorder="1" applyAlignment="1">
      <alignment horizontal="center" vertical="center"/>
    </xf>
    <xf numFmtId="0" fontId="0" fillId="0" borderId="17" xfId="0" applyBorder="1"/>
    <xf numFmtId="0" fontId="0" fillId="0" borderId="33" xfId="0" applyBorder="1"/>
    <xf numFmtId="0" fontId="0" fillId="0" borderId="18" xfId="0" applyBorder="1"/>
    <xf numFmtId="0" fontId="0" fillId="0" borderId="19" xfId="0" applyBorder="1"/>
    <xf numFmtId="9" fontId="0" fillId="0" borderId="12" xfId="5" applyFont="1" applyBorder="1"/>
    <xf numFmtId="9" fontId="0" fillId="0" borderId="15" xfId="5" applyFon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" xfId="0" applyBorder="1"/>
    <xf numFmtId="0" fontId="0" fillId="0" borderId="29" xfId="0" applyBorder="1"/>
    <xf numFmtId="164" fontId="0" fillId="0" borderId="33" xfId="0" applyNumberFormat="1" applyBorder="1"/>
    <xf numFmtId="164" fontId="0" fillId="0" borderId="34" xfId="0" applyNumberFormat="1" applyBorder="1"/>
    <xf numFmtId="0" fontId="0" fillId="4" borderId="32" xfId="0" applyFill="1" applyBorder="1" applyAlignment="1">
      <alignment horizontal="center" textRotation="90"/>
    </xf>
    <xf numFmtId="1" fontId="11" fillId="8" borderId="17" xfId="0" applyNumberFormat="1" applyFont="1" applyFill="1" applyBorder="1" applyAlignment="1" applyProtection="1">
      <alignment horizontal="center"/>
      <protection locked="0"/>
    </xf>
    <xf numFmtId="1" fontId="11" fillId="8" borderId="18" xfId="0" applyNumberFormat="1" applyFont="1" applyFill="1" applyBorder="1" applyAlignment="1" applyProtection="1">
      <alignment horizontal="center"/>
      <protection locked="0"/>
    </xf>
    <xf numFmtId="0" fontId="0" fillId="5" borderId="54" xfId="0" applyFill="1" applyBorder="1" applyAlignment="1">
      <alignment horizontal="center"/>
    </xf>
    <xf numFmtId="0" fontId="0" fillId="4" borderId="17" xfId="0" applyFill="1" applyBorder="1" applyAlignment="1">
      <alignment textRotation="90" wrapText="1"/>
    </xf>
    <xf numFmtId="0" fontId="3" fillId="3" borderId="0" xfId="0" applyFont="1" applyFill="1" applyAlignment="1">
      <alignment horizontal="right" wrapText="1"/>
    </xf>
    <xf numFmtId="49" fontId="16" fillId="4" borderId="17" xfId="6" applyNumberFormat="1" applyFill="1" applyBorder="1" applyAlignment="1">
      <alignment horizontal="center" vertical="center" textRotation="90" wrapText="1"/>
    </xf>
    <xf numFmtId="0" fontId="0" fillId="5" borderId="34" xfId="0" applyFill="1" applyBorder="1" applyAlignment="1">
      <alignment horizontal="center"/>
    </xf>
    <xf numFmtId="0" fontId="11" fillId="0" borderId="18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4" borderId="31" xfId="0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/>
    </xf>
    <xf numFmtId="0" fontId="6" fillId="4" borderId="53" xfId="0" applyFont="1" applyFill="1" applyBorder="1" applyAlignment="1">
      <alignment horizontal="center"/>
    </xf>
    <xf numFmtId="0" fontId="6" fillId="4" borderId="48" xfId="0" applyFont="1" applyFill="1" applyBorder="1" applyAlignment="1">
      <alignment horizontal="center" wrapText="1"/>
    </xf>
    <xf numFmtId="0" fontId="6" fillId="4" borderId="49" xfId="0" applyFont="1" applyFill="1" applyBorder="1" applyAlignment="1">
      <alignment horizontal="center" wrapText="1"/>
    </xf>
    <xf numFmtId="0" fontId="6" fillId="4" borderId="42" xfId="0" applyFont="1" applyFill="1" applyBorder="1" applyAlignment="1">
      <alignment horizontal="center" wrapText="1"/>
    </xf>
    <xf numFmtId="0" fontId="0" fillId="4" borderId="30" xfId="0" applyFill="1" applyBorder="1" applyAlignment="1">
      <alignment horizontal="center" vertical="center" textRotation="90" wrapText="1"/>
    </xf>
    <xf numFmtId="0" fontId="0" fillId="4" borderId="32" xfId="0" applyFill="1" applyBorder="1" applyAlignment="1">
      <alignment horizontal="center" vertical="center" textRotation="90" wrapText="1"/>
    </xf>
    <xf numFmtId="0" fontId="7" fillId="4" borderId="35" xfId="0" applyFont="1" applyFill="1" applyBorder="1" applyAlignment="1">
      <alignment horizontal="center" vertical="center" textRotation="90"/>
    </xf>
    <xf numFmtId="0" fontId="7" fillId="4" borderId="52" xfId="0" applyFont="1" applyFill="1" applyBorder="1" applyAlignment="1">
      <alignment horizontal="center" vertical="center" textRotation="90"/>
    </xf>
    <xf numFmtId="0" fontId="7" fillId="4" borderId="36" xfId="0" applyFont="1" applyFill="1" applyBorder="1" applyAlignment="1">
      <alignment horizontal="center" vertical="center" textRotation="90"/>
    </xf>
    <xf numFmtId="0" fontId="7" fillId="4" borderId="35" xfId="0" applyFont="1" applyFill="1" applyBorder="1" applyAlignment="1">
      <alignment horizontal="center" textRotation="90" wrapText="1"/>
    </xf>
    <xf numFmtId="0" fontId="7" fillId="4" borderId="36" xfId="0" applyFont="1" applyFill="1" applyBorder="1" applyAlignment="1">
      <alignment horizontal="center" textRotation="90" wrapText="1"/>
    </xf>
    <xf numFmtId="0" fontId="7" fillId="4" borderId="30" xfId="0" applyFont="1" applyFill="1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3" borderId="0" xfId="0" applyFill="1" applyAlignment="1">
      <alignment horizontal="center"/>
    </xf>
    <xf numFmtId="0" fontId="16" fillId="3" borderId="0" xfId="6" quotePrefix="1" applyFill="1" applyAlignment="1">
      <alignment horizontal="left" wrapText="1"/>
    </xf>
    <xf numFmtId="0" fontId="0" fillId="4" borderId="30" xfId="0" applyFill="1" applyBorder="1" applyAlignment="1">
      <alignment horizontal="center" wrapText="1"/>
    </xf>
    <xf numFmtId="0" fontId="0" fillId="4" borderId="31" xfId="0" applyFill="1" applyBorder="1" applyAlignment="1">
      <alignment horizontal="center" wrapText="1"/>
    </xf>
    <xf numFmtId="0" fontId="0" fillId="4" borderId="30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3" fillId="3" borderId="0" xfId="0" applyFont="1" applyFill="1" applyAlignment="1">
      <alignment wrapText="1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3" fillId="4" borderId="30" xfId="0" applyFont="1" applyFill="1" applyBorder="1" applyAlignment="1">
      <alignment horizontal="center" wrapText="1"/>
    </xf>
    <xf numFmtId="0" fontId="3" fillId="4" borderId="31" xfId="0" applyFont="1" applyFill="1" applyBorder="1" applyAlignment="1">
      <alignment horizontal="center" wrapText="1"/>
    </xf>
    <xf numFmtId="0" fontId="3" fillId="4" borderId="32" xfId="0" applyFont="1" applyFill="1" applyBorder="1" applyAlignment="1">
      <alignment horizontal="center" wrapText="1"/>
    </xf>
    <xf numFmtId="0" fontId="0" fillId="4" borderId="30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2" borderId="4" xfId="1" applyBorder="1" applyAlignment="1">
      <alignment horizontal="center"/>
    </xf>
    <xf numFmtId="0" fontId="1" fillId="2" borderId="2" xfId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0" xfId="0" applyFont="1" applyAlignment="1"/>
    <xf numFmtId="0" fontId="4" fillId="3" borderId="0" xfId="0" applyFont="1" applyFill="1" applyAlignment="1"/>
    <xf numFmtId="0" fontId="0" fillId="0" borderId="0" xfId="0" applyAlignment="1"/>
    <xf numFmtId="0" fontId="8" fillId="3" borderId="0" xfId="0" applyFont="1" applyFill="1" applyAlignment="1"/>
    <xf numFmtId="0" fontId="2" fillId="3" borderId="0" xfId="0" applyFont="1" applyFill="1" applyAlignment="1"/>
    <xf numFmtId="0" fontId="0" fillId="0" borderId="4" xfId="0" applyBorder="1" applyAlignment="1"/>
    <xf numFmtId="0" fontId="0" fillId="0" borderId="2" xfId="0" applyBorder="1" applyAlignment="1"/>
    <xf numFmtId="0" fontId="0" fillId="3" borderId="0" xfId="0" applyFill="1" applyAlignment="1"/>
  </cellXfs>
  <cellStyles count="7">
    <cellStyle name="Bad" xfId="1" builtinId="27"/>
    <cellStyle name="Check Cell" xfId="2" builtinId="23"/>
    <cellStyle name="Hyperlink" xfId="6" builtinId="8"/>
    <cellStyle name="Input" xfId="3" builtinId="20"/>
    <cellStyle name="Normal" xfId="0" builtinId="0"/>
    <cellStyle name="Percent" xfId="5" builtinId="5"/>
    <cellStyle name="Style 1" xfId="4" xr:uid="{00000000-0005-0000-0000-000004000000}"/>
  </cellStyles>
  <dxfs count="40"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14996795556505021"/>
      </font>
      <fill>
        <patternFill>
          <fgColor theme="0" tint="-0.14993743705557422"/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rgb="FFFF0000"/>
      </font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image" Target="../media/image9.png"/><Relationship Id="rId3" Type="http://schemas.openxmlformats.org/officeDocument/2006/relationships/image" Target="../media/image3.png"/><Relationship Id="rId7" Type="http://schemas.microsoft.com/office/2007/relationships/hdphoto" Target="../media/hdphoto2.wdp"/><Relationship Id="rId12" Type="http://schemas.microsoft.com/office/2007/relationships/hdphoto" Target="../media/hdphoto4.wdp"/><Relationship Id="rId17" Type="http://schemas.openxmlformats.org/officeDocument/2006/relationships/image" Target="../media/image11.png"/><Relationship Id="rId2" Type="http://schemas.openxmlformats.org/officeDocument/2006/relationships/image" Target="../media/image2.png"/><Relationship Id="rId16" Type="http://schemas.microsoft.com/office/2007/relationships/hdphoto" Target="../media/hdphoto6.wdp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11" Type="http://schemas.openxmlformats.org/officeDocument/2006/relationships/image" Target="../media/image8.png"/><Relationship Id="rId5" Type="http://schemas.microsoft.com/office/2007/relationships/hdphoto" Target="../media/hdphoto1.wdp"/><Relationship Id="rId15" Type="http://schemas.openxmlformats.org/officeDocument/2006/relationships/image" Target="../media/image10.png"/><Relationship Id="rId10" Type="http://schemas.microsoft.com/office/2007/relationships/hdphoto" Target="../media/hdphoto3.wdp"/><Relationship Id="rId4" Type="http://schemas.openxmlformats.org/officeDocument/2006/relationships/image" Target="../media/image4.png"/><Relationship Id="rId9" Type="http://schemas.openxmlformats.org/officeDocument/2006/relationships/image" Target="../media/image7.png"/><Relationship Id="rId14" Type="http://schemas.microsoft.com/office/2007/relationships/hdphoto" Target="../media/hdphoto5.wd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419100</xdr:colOff>
      <xdr:row>1</xdr:row>
      <xdr:rowOff>85725</xdr:rowOff>
    </xdr:from>
    <xdr:to>
      <xdr:col>40</xdr:col>
      <xdr:colOff>57211</xdr:colOff>
      <xdr:row>3</xdr:row>
      <xdr:rowOff>152400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2753975" y="257175"/>
          <a:ext cx="3616037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2400" b="0" i="1" u="none" strike="noStrike" baseline="0">
              <a:solidFill>
                <a:srgbClr val="969696"/>
              </a:solidFill>
              <a:latin typeface="Times New Roman"/>
              <a:cs typeface="Times New Roman"/>
            </a:rPr>
            <a:t>Interactive TD 306, </a:t>
          </a:r>
          <a:r>
            <a:rPr lang="en-US" sz="1200" b="0" i="1" u="none" strike="noStrike" baseline="0">
              <a:solidFill>
                <a:srgbClr val="969696"/>
              </a:solidFill>
              <a:latin typeface="Times New Roman"/>
              <a:cs typeface="Times New Roman"/>
            </a:rPr>
            <a:t>December 2023</a:t>
          </a:r>
          <a:endParaRPr lang="en-US" sz="1200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381000</xdr:colOff>
      <xdr:row>3</xdr:row>
      <xdr:rowOff>190500</xdr:rowOff>
    </xdr:to>
    <xdr:pic>
      <xdr:nvPicPr>
        <xdr:cNvPr id="5" name="Picture 2" descr="Description: Aanderaa_Xylem_4c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43148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134473</xdr:colOff>
      <xdr:row>1</xdr:row>
      <xdr:rowOff>33619</xdr:rowOff>
    </xdr:from>
    <xdr:to>
      <xdr:col>15</xdr:col>
      <xdr:colOff>249184</xdr:colOff>
      <xdr:row>8</xdr:row>
      <xdr:rowOff>15948</xdr:rowOff>
    </xdr:to>
    <xdr:pic>
      <xdr:nvPicPr>
        <xdr:cNvPr id="6" name="Picture 5" descr="A picture containing text, parking&#10;&#10;Description automatically generated">
          <a:extLst>
            <a:ext uri="{FF2B5EF4-FFF2-40B4-BE49-F238E27FC236}">
              <a16:creationId xmlns:a16="http://schemas.microsoft.com/office/drawing/2014/main" id="{F469D5DF-7EA4-440A-9454-A67515BF8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47885" y="201707"/>
          <a:ext cx="675004" cy="2129118"/>
        </a:xfrm>
        <a:prstGeom prst="rect">
          <a:avLst/>
        </a:prstGeom>
      </xdr:spPr>
    </xdr:pic>
    <xdr:clientData/>
  </xdr:twoCellAnchor>
  <xdr:twoCellAnchor editAs="oneCell">
    <xdr:from>
      <xdr:col>28</xdr:col>
      <xdr:colOff>100368</xdr:colOff>
      <xdr:row>6</xdr:row>
      <xdr:rowOff>40531</xdr:rowOff>
    </xdr:from>
    <xdr:to>
      <xdr:col>30</xdr:col>
      <xdr:colOff>60041</xdr:colOff>
      <xdr:row>7</xdr:row>
      <xdr:rowOff>136003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04258E1-D1EC-46C9-82A8-F21AC5CD05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989017" y="1325393"/>
          <a:ext cx="520432" cy="934969"/>
        </a:xfrm>
        <a:prstGeom prst="rect">
          <a:avLst/>
        </a:prstGeom>
      </xdr:spPr>
    </xdr:pic>
    <xdr:clientData/>
  </xdr:twoCellAnchor>
  <xdr:twoCellAnchor editAs="oneCell">
    <xdr:from>
      <xdr:col>25</xdr:col>
      <xdr:colOff>43142</xdr:colOff>
      <xdr:row>4</xdr:row>
      <xdr:rowOff>160221</xdr:rowOff>
    </xdr:from>
    <xdr:to>
      <xdr:col>27</xdr:col>
      <xdr:colOff>19673</xdr:colOff>
      <xdr:row>6</xdr:row>
      <xdr:rowOff>477216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D42D145-B544-4BBD-A217-2F9DF7798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460" b="97445" l="7383" r="89933">
                      <a14:foregroundMark x1="47651" y1="4762" x2="47651" y2="4762"/>
                      <a14:foregroundMark x1="46980" y1="1818" x2="46980" y2="1818"/>
                      <a14:foregroundMark x1="49664" y1="1818" x2="49664" y2="1818"/>
                      <a14:foregroundMark x1="40940" y1="70909" x2="40940" y2="70909"/>
                      <a14:foregroundMark x1="48322" y1="81752" x2="48322" y2="81752"/>
                      <a14:foregroundMark x1="49664" y1="88686" x2="49664" y2="88686"/>
                      <a14:foregroundMark x1="54362" y1="79927" x2="54362" y2="79927"/>
                      <a14:foregroundMark x1="54362" y1="78832" x2="54362" y2="78832"/>
                      <a14:foregroundMark x1="42953" y1="78102" x2="42953" y2="78102"/>
                      <a14:foregroundMark x1="61745" y1="84307" x2="61745" y2="84307"/>
                      <a14:foregroundMark x1="50336" y1="85036" x2="50336" y2="85036"/>
                      <a14:foregroundMark x1="42953" y1="88686" x2="42953" y2="88686"/>
                      <a14:foregroundMark x1="42282" y1="95985" x2="42282" y2="95985"/>
                      <a14:foregroundMark x1="49664" y1="98175" x2="49664" y2="98175"/>
                      <a14:foregroundMark x1="90604" y1="39781" x2="90604" y2="39781"/>
                      <a14:foregroundMark x1="51007" y1="96715" x2="51007" y2="96715"/>
                      <a14:foregroundMark x1="56376" y1="97080" x2="56376" y2="97080"/>
                      <a14:foregroundMark x1="7383" y1="25547" x2="7383" y2="25547"/>
                      <a14:backgroundMark x1="57718" y1="99270" x2="57718" y2="9927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15642" y="877397"/>
          <a:ext cx="469366" cy="86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 type="none" w="sm" len="sm"/>
              <a:tailEnd type="none" w="sm" len="sm"/>
            </a14:hiddenLine>
          </a:ext>
        </a:extLst>
      </xdr:spPr>
    </xdr:pic>
    <xdr:clientData/>
  </xdr:twoCellAnchor>
  <xdr:twoCellAnchor editAs="oneCell">
    <xdr:from>
      <xdr:col>22</xdr:col>
      <xdr:colOff>51515</xdr:colOff>
      <xdr:row>5</xdr:row>
      <xdr:rowOff>254485</xdr:rowOff>
    </xdr:from>
    <xdr:to>
      <xdr:col>23</xdr:col>
      <xdr:colOff>205761</xdr:colOff>
      <xdr:row>8</xdr:row>
      <xdr:rowOff>184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34C02D8-E3FF-45E5-9EF4-20C309ADC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1572" b="95818" l="9050" r="90000">
                      <a14:foregroundMark x1="50000" y1="84245" x2="50000" y2="84245"/>
                      <a14:foregroundMark x1="51041" y1="82107" x2="51041" y2="8210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981774" y="1167571"/>
          <a:ext cx="799056" cy="1130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248410</xdr:colOff>
      <xdr:row>5</xdr:row>
      <xdr:rowOff>359869</xdr:rowOff>
    </xdr:from>
    <xdr:to>
      <xdr:col>35</xdr:col>
      <xdr:colOff>248800</xdr:colOff>
      <xdr:row>8</xdr:row>
      <xdr:rowOff>129561</xdr:rowOff>
    </xdr:to>
    <xdr:pic>
      <xdr:nvPicPr>
        <xdr:cNvPr id="10" name="Picture 9" descr="A picture containing metalware, light&#10;&#10;Description automatically generated">
          <a:extLst>
            <a:ext uri="{FF2B5EF4-FFF2-40B4-BE49-F238E27FC236}">
              <a16:creationId xmlns:a16="http://schemas.microsoft.com/office/drawing/2014/main" id="{1D135298-5925-45B9-BCDB-FAADBFC49A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947351" y="1267545"/>
          <a:ext cx="515637" cy="1164713"/>
        </a:xfrm>
        <a:prstGeom prst="rect">
          <a:avLst/>
        </a:prstGeom>
      </xdr:spPr>
    </xdr:pic>
    <xdr:clientData/>
  </xdr:twoCellAnchor>
  <xdr:twoCellAnchor editAs="oneCell">
    <xdr:from>
      <xdr:col>31</xdr:col>
      <xdr:colOff>403358</xdr:colOff>
      <xdr:row>4</xdr:row>
      <xdr:rowOff>121225</xdr:rowOff>
    </xdr:from>
    <xdr:to>
      <xdr:col>33</xdr:col>
      <xdr:colOff>18782</xdr:colOff>
      <xdr:row>6</xdr:row>
      <xdr:rowOff>586870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AA6FCA7-EA49-4809-9A41-B935DD024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4610" b="96809" l="10000" r="90000">
                      <a14:foregroundMark x1="70000" y1="10915" x2="70000" y2="10915"/>
                      <a14:foregroundMark x1="74286" y1="6383" x2="74286" y2="6383"/>
                      <a14:foregroundMark x1="51429" y1="73759" x2="51429" y2="73759"/>
                      <a14:foregroundMark x1="55714" y1="79433" x2="55714" y2="79433"/>
                      <a14:foregroundMark x1="56429" y1="88298" x2="56429" y2="88298"/>
                      <a14:foregroundMark x1="46429" y1="91844" x2="46429" y2="91844"/>
                      <a14:foregroundMark x1="49286" y1="94681" x2="49286" y2="94681"/>
                      <a14:foregroundMark x1="45714" y1="97163" x2="45714" y2="97163"/>
                      <a14:foregroundMark x1="26429" y1="4610" x2="26429" y2="4610"/>
                      <a14:foregroundMark x1="12857" y1="32624" x2="12857" y2="3262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578299" y="838401"/>
          <a:ext cx="512119" cy="1025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47</xdr:col>
      <xdr:colOff>669709</xdr:colOff>
      <xdr:row>5</xdr:row>
      <xdr:rowOff>45960</xdr:rowOff>
    </xdr:from>
    <xdr:to>
      <xdr:col>47</xdr:col>
      <xdr:colOff>1351161</xdr:colOff>
      <xdr:row>6</xdr:row>
      <xdr:rowOff>593837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107521-2FA8-4905-9D2F-19DE8DFC3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6785" b="90925" l="9820" r="89863">
                      <a14:foregroundMark x1="28405" y1="17048" x2="28405" y2="17048"/>
                      <a14:foregroundMark x1="82049" y1="6870" x2="82049" y2="6870"/>
                      <a14:foregroundMark x1="42239" y1="90925" x2="42239" y2="90925"/>
                    </a14:backgroundRemoval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89816" y="971246"/>
          <a:ext cx="692882" cy="915270"/>
        </a:xfrm>
        <a:prstGeom prst="rect">
          <a:avLst/>
        </a:prstGeom>
      </xdr:spPr>
    </xdr:pic>
    <xdr:clientData/>
  </xdr:twoCellAnchor>
  <xdr:twoCellAnchor editAs="oneCell">
    <xdr:from>
      <xdr:col>47</xdr:col>
      <xdr:colOff>849274</xdr:colOff>
      <xdr:row>6</xdr:row>
      <xdr:rowOff>201595</xdr:rowOff>
    </xdr:from>
    <xdr:to>
      <xdr:col>47</xdr:col>
      <xdr:colOff>1463724</xdr:colOff>
      <xdr:row>8</xdr:row>
      <xdr:rowOff>53377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1899A42-B1AC-42E6-A73E-73694B341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6655" b="89932" l="9922" r="89967">
                      <a14:foregroundMark x1="60647" y1="10836" x2="60647" y2="10836"/>
                      <a14:foregroundMark x1="84838" y1="6655" x2="84838" y2="6655"/>
                      <a14:foregroundMark x1="89744" y1="18003" x2="89744" y2="18003"/>
                    </a14:backgroundRemoval>
                  </a14:imgEffect>
                  <a14:imgEffect>
                    <a14:brightnessContrast bright="-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769381" y="1494274"/>
          <a:ext cx="614450" cy="879937"/>
        </a:xfrm>
        <a:prstGeom prst="rect">
          <a:avLst/>
        </a:prstGeom>
      </xdr:spPr>
    </xdr:pic>
    <xdr:clientData/>
  </xdr:twoCellAnchor>
  <xdr:twoCellAnchor editAs="oneCell">
    <xdr:from>
      <xdr:col>47</xdr:col>
      <xdr:colOff>1389741</xdr:colOff>
      <xdr:row>2</xdr:row>
      <xdr:rowOff>81642</xdr:rowOff>
    </xdr:from>
    <xdr:to>
      <xdr:col>47</xdr:col>
      <xdr:colOff>2495932</xdr:colOff>
      <xdr:row>8</xdr:row>
      <xdr:rowOff>40821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B221BF5-556C-4ECC-8F0C-122F7D4F2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ackgroundRemoval t="6208" b="91835" l="10000" r="90000">
                      <a14:foregroundMark x1="37168" y1="6275" x2="37168" y2="6275"/>
                      <a14:foregroundMark x1="41327" y1="21930" x2="41327" y2="21930"/>
                      <a14:foregroundMark x1="41681" y1="22874" x2="41681" y2="22874"/>
                      <a14:foregroundMark x1="47257" y1="91835" x2="47257" y2="91835"/>
                      <a14:foregroundMark x1="56372" y1="18489" x2="56372" y2="1848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309848" y="449035"/>
          <a:ext cx="1094761" cy="1905000"/>
        </a:xfrm>
        <a:prstGeom prst="rect">
          <a:avLst/>
        </a:prstGeom>
      </xdr:spPr>
    </xdr:pic>
    <xdr:clientData/>
  </xdr:twoCellAnchor>
  <xdr:twoCellAnchor editAs="oneCell">
    <xdr:from>
      <xdr:col>37</xdr:col>
      <xdr:colOff>44821</xdr:colOff>
      <xdr:row>4</xdr:row>
      <xdr:rowOff>139046</xdr:rowOff>
    </xdr:from>
    <xdr:to>
      <xdr:col>42</xdr:col>
      <xdr:colOff>18376</xdr:colOff>
      <xdr:row>6</xdr:row>
      <xdr:rowOff>403410</xdr:rowOff>
    </xdr:to>
    <xdr:pic>
      <xdr:nvPicPr>
        <xdr:cNvPr id="20" name="Picture 19" descr="A picture containing beverage, dark&#10;&#10;Description automatically generated">
          <a:extLst>
            <a:ext uri="{FF2B5EF4-FFF2-40B4-BE49-F238E27FC236}">
              <a16:creationId xmlns:a16="http://schemas.microsoft.com/office/drawing/2014/main" id="{065BC536-48AC-49F6-93EE-D28F524271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494556" y="856222"/>
          <a:ext cx="1232648" cy="8246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21</xdr:col>
      <xdr:colOff>0</xdr:colOff>
      <xdr:row>37</xdr:row>
      <xdr:rowOff>163114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388576-42EA-4AC3-86A2-8F87F4CD0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2801599" cy="72116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25</xdr:col>
      <xdr:colOff>0</xdr:colOff>
      <xdr:row>38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6AAAA8E-A02B-4FE5-AA8D-6F2F1252B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5240000" cy="7277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0</xdr:colOff>
      <xdr:row>0</xdr:row>
      <xdr:rowOff>0</xdr:rowOff>
    </xdr:from>
    <xdr:to>
      <xdr:col>65</xdr:col>
      <xdr:colOff>381433</xdr:colOff>
      <xdr:row>3</xdr:row>
      <xdr:rowOff>190500</xdr:rowOff>
    </xdr:to>
    <xdr:pic>
      <xdr:nvPicPr>
        <xdr:cNvPr id="5" name="Picture 2" descr="Description: Aanderaa_Xylem_4c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3248458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0</xdr:colOff>
      <xdr:row>0</xdr:row>
      <xdr:rowOff>0</xdr:rowOff>
    </xdr:from>
    <xdr:to>
      <xdr:col>71</xdr:col>
      <xdr:colOff>343333</xdr:colOff>
      <xdr:row>3</xdr:row>
      <xdr:rowOff>190500</xdr:rowOff>
    </xdr:to>
    <xdr:pic>
      <xdr:nvPicPr>
        <xdr:cNvPr id="4" name="Picture 2" descr="Description: Aanderaa_Xylem_4c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3191308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CPS%20teori\Current_Consuption_sprea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ilie.dorgeville\AppData\Local\Microsoft\Windows\Temporary%20Internet%20Files\Content.Outlook\CI32D9EN\Power%20Consumption%20Pressure%20Tide%20WaveandTid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arrow Band"/>
      <sheetName val="Broad Band"/>
      <sheetName val="Sheet2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aanderaa.com/temperature-sensor" TargetMode="External"/><Relationship Id="rId7" Type="http://schemas.openxmlformats.org/officeDocument/2006/relationships/hyperlink" Target="https://www.aanderaa.com/oxygen-sensors" TargetMode="External"/><Relationship Id="rId2" Type="http://schemas.openxmlformats.org/officeDocument/2006/relationships/hyperlink" Target="https://www.aanderaa.com/pressure-sensor" TargetMode="External"/><Relationship Id="rId1" Type="http://schemas.openxmlformats.org/officeDocument/2006/relationships/hyperlink" Target="https://www.aanderaa.com/profiling-current-meter-wave" TargetMode="External"/><Relationship Id="rId6" Type="http://schemas.openxmlformats.org/officeDocument/2006/relationships/hyperlink" Target="https://www.aanderaa.com/stand-alone-current-sensor" TargetMode="External"/><Relationship Id="rId5" Type="http://schemas.openxmlformats.org/officeDocument/2006/relationships/hyperlink" Target="https://www.aanderaa.com/turbidity-sensor" TargetMode="External"/><Relationship Id="rId4" Type="http://schemas.openxmlformats.org/officeDocument/2006/relationships/hyperlink" Target="https://www.aanderaa.com/conductivity-sensor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C31"/>
  <sheetViews>
    <sheetView tabSelected="1" zoomScaleNormal="100" workbookViewId="0">
      <selection activeCell="W15" sqref="W15"/>
    </sheetView>
  </sheetViews>
  <sheetFormatPr defaultColWidth="0" defaultRowHeight="0" customHeight="1" zeroHeight="1"/>
  <cols>
    <col min="1" max="1" width="2.85546875" customWidth="1"/>
    <col min="2" max="2" width="6.140625" customWidth="1"/>
    <col min="3" max="3" width="9" customWidth="1"/>
    <col min="4" max="4" width="12.28515625" customWidth="1"/>
    <col min="5" max="5" width="4.85546875" customWidth="1"/>
    <col min="6" max="18" width="4.140625" customWidth="1"/>
    <col min="19" max="19" width="4.42578125" customWidth="1"/>
    <col min="20" max="20" width="5" customWidth="1"/>
    <col min="21" max="21" width="4.140625" customWidth="1"/>
    <col min="22" max="22" width="7" customWidth="1"/>
    <col min="23" max="23" width="9.42578125" customWidth="1"/>
    <col min="24" max="25" width="4.140625" customWidth="1"/>
    <col min="26" max="26" width="3.85546875" customWidth="1"/>
    <col min="27" max="27" width="3.7109375" customWidth="1"/>
    <col min="28" max="30" width="4.140625" customWidth="1"/>
    <col min="31" max="31" width="3.85546875" customWidth="1"/>
    <col min="32" max="32" width="9" customWidth="1"/>
    <col min="33" max="33" width="4.140625" customWidth="1"/>
    <col min="34" max="34" width="5" customWidth="1"/>
    <col min="35" max="35" width="7.85546875" customWidth="1"/>
    <col min="36" max="36" width="3.85546875" customWidth="1"/>
    <col min="37" max="37" width="4" customWidth="1"/>
    <col min="38" max="39" width="3.42578125" customWidth="1"/>
    <col min="40" max="40" width="4.140625" customWidth="1"/>
    <col min="41" max="42" width="3.7109375" customWidth="1"/>
    <col min="43" max="43" width="3.42578125" customWidth="1"/>
    <col min="44" max="44" width="8.7109375" customWidth="1"/>
    <col min="45" max="45" width="4.7109375" customWidth="1"/>
    <col min="46" max="46" width="5" customWidth="1"/>
    <col min="47" max="47" width="2.42578125" customWidth="1"/>
    <col min="48" max="48" width="47.28515625" customWidth="1"/>
    <col min="49" max="49" width="8.140625" customWidth="1"/>
    <col min="50" max="50" width="2.7109375" customWidth="1"/>
    <col min="51" max="51" width="8.42578125" customWidth="1"/>
    <col min="52" max="52" width="7.28515625" customWidth="1"/>
    <col min="53" max="53" width="7.7109375" customWidth="1"/>
    <col min="54" max="54" width="2.85546875" customWidth="1"/>
    <col min="55" max="55" width="10" customWidth="1"/>
    <col min="56" max="56" width="8.42578125" customWidth="1"/>
    <col min="57" max="57" width="8.85546875" customWidth="1"/>
    <col min="58" max="58" width="9" customWidth="1"/>
    <col min="59" max="59" width="8.28515625" customWidth="1"/>
    <col min="60" max="60" width="8.42578125" customWidth="1"/>
    <col min="61" max="61" width="9" customWidth="1"/>
    <col min="62" max="62" width="9.42578125" customWidth="1"/>
    <col min="63" max="63" width="4.140625" customWidth="1"/>
    <col min="64" max="81" width="4.140625" hidden="1" customWidth="1"/>
    <col min="82" max="16384" width="9.140625" hidden="1"/>
  </cols>
  <sheetData>
    <row r="1" spans="1:63" ht="13.5" customHeight="1">
      <c r="A1" s="195"/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</row>
    <row r="2" spans="1:63" ht="15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</row>
    <row r="3" spans="1:63" ht="15">
      <c r="A3" s="195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</row>
    <row r="4" spans="1:63" ht="13.5" customHeight="1">
      <c r="A4" s="195"/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</row>
    <row r="5" spans="1:63" ht="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</row>
    <row r="6" spans="1:63" ht="29.25" customHeight="1">
      <c r="A6" s="6"/>
      <c r="B6" s="6"/>
      <c r="C6" s="127" t="s">
        <v>0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154" t="s">
        <v>1</v>
      </c>
      <c r="R6" s="6"/>
      <c r="S6" s="6"/>
      <c r="T6" s="37"/>
      <c r="U6" s="6"/>
      <c r="V6" s="127"/>
      <c r="W6" s="6"/>
      <c r="X6" s="6"/>
      <c r="Y6" s="6"/>
      <c r="Z6" s="6"/>
      <c r="AA6" s="6"/>
      <c r="AB6" s="153" t="s">
        <v>2</v>
      </c>
      <c r="AC6" s="6"/>
      <c r="AD6" s="6"/>
      <c r="AE6" s="6"/>
      <c r="AF6" s="6"/>
      <c r="AG6" s="6"/>
      <c r="AH6" s="155" t="s">
        <v>3</v>
      </c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</row>
    <row r="7" spans="1:63" ht="66.75" customHeight="1">
      <c r="A7" s="6"/>
      <c r="B7" s="6"/>
      <c r="C7" s="191"/>
      <c r="D7" s="212"/>
      <c r="E7" s="212"/>
      <c r="F7" s="212"/>
      <c r="G7" s="212"/>
      <c r="H7" s="6"/>
      <c r="I7" s="6"/>
      <c r="J7" s="6"/>
      <c r="K7" s="6"/>
      <c r="L7" s="6"/>
      <c r="M7" s="6"/>
      <c r="N7" s="6"/>
      <c r="O7" s="6"/>
      <c r="P7" s="6"/>
      <c r="Q7" s="213" t="s">
        <v>4</v>
      </c>
      <c r="R7" s="213"/>
      <c r="S7" s="213"/>
      <c r="T7" s="213"/>
      <c r="U7" s="213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155" t="s">
        <v>5</v>
      </c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</row>
    <row r="8" spans="1:63" ht="14.25" customHeight="1">
      <c r="A8" s="6"/>
      <c r="B8" s="6"/>
      <c r="C8" s="6"/>
      <c r="D8" s="219"/>
      <c r="E8" s="241"/>
      <c r="F8" s="241"/>
      <c r="G8" s="241"/>
      <c r="H8" s="241"/>
      <c r="I8" s="241"/>
      <c r="J8" s="241"/>
      <c r="K8" s="241"/>
      <c r="L8" s="241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53" t="s">
        <v>6</v>
      </c>
      <c r="Y8" s="6"/>
      <c r="Z8" s="6"/>
      <c r="AA8" s="6"/>
      <c r="AB8" s="6"/>
      <c r="AC8" s="6"/>
      <c r="AD8" s="6"/>
      <c r="AE8" s="154" t="s">
        <v>7</v>
      </c>
      <c r="AF8" s="6"/>
      <c r="AG8" s="6"/>
      <c r="AH8" s="6"/>
      <c r="AI8" s="6"/>
      <c r="AJ8" s="6"/>
      <c r="AK8" s="154" t="s">
        <v>8</v>
      </c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</row>
    <row r="9" spans="1:63" ht="13.5" customHeight="1" thickBot="1">
      <c r="A9" s="6"/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</row>
    <row r="10" spans="1:63" ht="30.75" customHeight="1" thickBot="1">
      <c r="A10" s="6"/>
      <c r="B10" s="204" t="s">
        <v>9</v>
      </c>
      <c r="C10" s="199" t="s">
        <v>10</v>
      </c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1"/>
      <c r="W10" s="199" t="s">
        <v>11</v>
      </c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1"/>
      <c r="AI10" s="199" t="s">
        <v>11</v>
      </c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1"/>
      <c r="AU10" s="64"/>
      <c r="AV10" s="197" t="s">
        <v>12</v>
      </c>
      <c r="AW10" s="198"/>
      <c r="AX10" s="6"/>
      <c r="AY10" s="222" t="s">
        <v>13</v>
      </c>
      <c r="AZ10" s="223"/>
      <c r="BA10" s="224"/>
      <c r="BB10" s="6"/>
      <c r="BC10" s="207" t="s">
        <v>14</v>
      </c>
      <c r="BD10" s="207" t="s">
        <v>15</v>
      </c>
      <c r="BE10" s="209" t="s">
        <v>16</v>
      </c>
      <c r="BF10" s="210"/>
      <c r="BG10" s="211"/>
      <c r="BH10" s="209" t="s">
        <v>17</v>
      </c>
      <c r="BI10" s="210"/>
      <c r="BJ10" s="211"/>
      <c r="BK10" s="6"/>
    </row>
    <row r="11" spans="1:63" s="65" customFormat="1" ht="113.25" customHeight="1">
      <c r="A11" s="64"/>
      <c r="B11" s="205"/>
      <c r="C11" s="138"/>
      <c r="D11" s="216" t="s">
        <v>18</v>
      </c>
      <c r="E11" s="220"/>
      <c r="F11" s="220"/>
      <c r="G11" s="221"/>
      <c r="H11" s="216" t="s">
        <v>19</v>
      </c>
      <c r="I11" s="217"/>
      <c r="J11" s="217"/>
      <c r="K11" s="218"/>
      <c r="L11" s="216" t="s">
        <v>20</v>
      </c>
      <c r="M11" s="217"/>
      <c r="N11" s="217"/>
      <c r="O11" s="218"/>
      <c r="P11" s="216" t="s">
        <v>21</v>
      </c>
      <c r="Q11" s="217"/>
      <c r="R11" s="217"/>
      <c r="S11" s="218"/>
      <c r="T11" s="214" t="s">
        <v>22</v>
      </c>
      <c r="U11" s="215"/>
      <c r="V11" s="215"/>
      <c r="W11" s="137"/>
      <c r="X11" s="83" t="s">
        <v>23</v>
      </c>
      <c r="Y11" s="83" t="s">
        <v>24</v>
      </c>
      <c r="Z11" s="83" t="s">
        <v>25</v>
      </c>
      <c r="AA11" s="83" t="s">
        <v>26</v>
      </c>
      <c r="AB11" s="83" t="s">
        <v>27</v>
      </c>
      <c r="AC11" s="196" t="s">
        <v>28</v>
      </c>
      <c r="AD11" s="196"/>
      <c r="AE11" s="196"/>
      <c r="AF11" s="196"/>
      <c r="AG11" s="202" t="s">
        <v>29</v>
      </c>
      <c r="AH11" s="203"/>
      <c r="AI11" s="171"/>
      <c r="AJ11" s="186" t="s">
        <v>23</v>
      </c>
      <c r="AK11" s="83" t="s">
        <v>24</v>
      </c>
      <c r="AL11" s="83" t="s">
        <v>25</v>
      </c>
      <c r="AM11" s="83" t="s">
        <v>26</v>
      </c>
      <c r="AN11" s="83" t="s">
        <v>27</v>
      </c>
      <c r="AO11" s="225" t="s">
        <v>28</v>
      </c>
      <c r="AP11" s="196"/>
      <c r="AQ11" s="196"/>
      <c r="AR11" s="226"/>
      <c r="AS11" s="202" t="s">
        <v>29</v>
      </c>
      <c r="AT11" s="203"/>
      <c r="AU11" s="64"/>
      <c r="AV11" s="172" t="s">
        <v>30</v>
      </c>
      <c r="AW11" s="163" t="s">
        <v>31</v>
      </c>
      <c r="AX11" s="64"/>
      <c r="AY11" s="190" t="s">
        <v>32</v>
      </c>
      <c r="AZ11" s="129" t="s">
        <v>33</v>
      </c>
      <c r="BA11" s="131" t="s">
        <v>34</v>
      </c>
      <c r="BB11" s="64"/>
      <c r="BC11" s="208"/>
      <c r="BD11" s="208"/>
      <c r="BE11" s="96" t="s">
        <v>19</v>
      </c>
      <c r="BF11" s="69" t="s">
        <v>20</v>
      </c>
      <c r="BG11" s="97" t="s">
        <v>21</v>
      </c>
      <c r="BH11" s="96" t="s">
        <v>19</v>
      </c>
      <c r="BI11" s="69" t="s">
        <v>20</v>
      </c>
      <c r="BJ11" s="97" t="s">
        <v>21</v>
      </c>
      <c r="BK11" s="6"/>
    </row>
    <row r="12" spans="1:63" s="68" customFormat="1" ht="117.75">
      <c r="A12" s="67"/>
      <c r="B12" s="206"/>
      <c r="C12" s="78" t="s">
        <v>35</v>
      </c>
      <c r="D12" s="192" t="s">
        <v>36</v>
      </c>
      <c r="E12" s="71" t="s">
        <v>37</v>
      </c>
      <c r="F12" s="71" t="s">
        <v>38</v>
      </c>
      <c r="G12" s="72" t="s">
        <v>39</v>
      </c>
      <c r="H12" s="81" t="s">
        <v>40</v>
      </c>
      <c r="I12" s="66" t="s">
        <v>41</v>
      </c>
      <c r="J12" s="66" t="s">
        <v>42</v>
      </c>
      <c r="K12" s="82" t="s">
        <v>43</v>
      </c>
      <c r="L12" s="81" t="s">
        <v>40</v>
      </c>
      <c r="M12" s="66" t="s">
        <v>41</v>
      </c>
      <c r="N12" s="66" t="s">
        <v>42</v>
      </c>
      <c r="O12" s="82" t="s">
        <v>43</v>
      </c>
      <c r="P12" s="81" t="s">
        <v>40</v>
      </c>
      <c r="Q12" s="66" t="s">
        <v>41</v>
      </c>
      <c r="R12" s="66" t="s">
        <v>42</v>
      </c>
      <c r="S12" s="82" t="s">
        <v>43</v>
      </c>
      <c r="T12" s="103" t="s">
        <v>44</v>
      </c>
      <c r="U12" s="104" t="s">
        <v>45</v>
      </c>
      <c r="V12" s="119" t="s">
        <v>46</v>
      </c>
      <c r="W12" s="78" t="s">
        <v>47</v>
      </c>
      <c r="X12" s="84" t="s">
        <v>48</v>
      </c>
      <c r="Y12" s="84" t="s">
        <v>48</v>
      </c>
      <c r="Z12" s="84" t="s">
        <v>48</v>
      </c>
      <c r="AA12" s="84" t="s">
        <v>48</v>
      </c>
      <c r="AB12" s="84" t="s">
        <v>48</v>
      </c>
      <c r="AC12" s="118" t="s">
        <v>48</v>
      </c>
      <c r="AD12" s="66" t="s">
        <v>49</v>
      </c>
      <c r="AE12" s="66" t="s">
        <v>50</v>
      </c>
      <c r="AF12" s="166" t="s">
        <v>51</v>
      </c>
      <c r="AG12" s="81" t="s">
        <v>48</v>
      </c>
      <c r="AH12" s="82" t="s">
        <v>37</v>
      </c>
      <c r="AI12" s="168" t="s">
        <v>47</v>
      </c>
      <c r="AJ12" s="84" t="s">
        <v>48</v>
      </c>
      <c r="AK12" s="84" t="s">
        <v>48</v>
      </c>
      <c r="AL12" s="84" t="s">
        <v>48</v>
      </c>
      <c r="AM12" s="84" t="s">
        <v>48</v>
      </c>
      <c r="AN12" s="84" t="s">
        <v>48</v>
      </c>
      <c r="AO12" s="81" t="s">
        <v>48</v>
      </c>
      <c r="AP12" s="66" t="s">
        <v>49</v>
      </c>
      <c r="AQ12" s="66" t="s">
        <v>50</v>
      </c>
      <c r="AR12" s="82" t="s">
        <v>51</v>
      </c>
      <c r="AS12" s="81" t="s">
        <v>48</v>
      </c>
      <c r="AT12" s="82" t="s">
        <v>37</v>
      </c>
      <c r="AU12" s="64"/>
      <c r="AV12" s="164" t="s">
        <v>52</v>
      </c>
      <c r="AW12" s="165" t="s">
        <v>53</v>
      </c>
      <c r="AX12" s="67"/>
      <c r="AY12" s="132" t="s">
        <v>54</v>
      </c>
      <c r="AZ12" s="130" t="s">
        <v>54</v>
      </c>
      <c r="BA12" s="133" t="s">
        <v>54</v>
      </c>
      <c r="BB12" s="67"/>
      <c r="BC12" s="126" t="s">
        <v>55</v>
      </c>
      <c r="BD12" s="126" t="s">
        <v>56</v>
      </c>
      <c r="BE12" s="92" t="s">
        <v>57</v>
      </c>
      <c r="BF12" s="11" t="s">
        <v>57</v>
      </c>
      <c r="BG12" s="93" t="s">
        <v>57</v>
      </c>
      <c r="BH12" s="92" t="s">
        <v>57</v>
      </c>
      <c r="BI12" s="11" t="s">
        <v>57</v>
      </c>
      <c r="BJ12" s="93" t="s">
        <v>57</v>
      </c>
      <c r="BK12" s="6"/>
    </row>
    <row r="13" spans="1:63" ht="15">
      <c r="A13" s="6"/>
      <c r="B13" s="156">
        <v>1</v>
      </c>
      <c r="C13" s="79"/>
      <c r="D13" s="73" t="s">
        <v>58</v>
      </c>
      <c r="E13" s="28">
        <v>10</v>
      </c>
      <c r="F13" s="28">
        <v>50</v>
      </c>
      <c r="G13" s="74" t="s">
        <v>59</v>
      </c>
      <c r="H13" s="73">
        <v>1</v>
      </c>
      <c r="I13" s="28">
        <v>1</v>
      </c>
      <c r="J13" s="28">
        <v>2</v>
      </c>
      <c r="K13" s="74" t="s">
        <v>59</v>
      </c>
      <c r="L13" s="73">
        <v>0</v>
      </c>
      <c r="M13" s="28">
        <v>1</v>
      </c>
      <c r="N13" s="28">
        <v>2</v>
      </c>
      <c r="O13" s="74" t="s">
        <v>59</v>
      </c>
      <c r="P13" s="73">
        <v>0</v>
      </c>
      <c r="Q13" s="28">
        <v>2</v>
      </c>
      <c r="R13" s="28">
        <v>3</v>
      </c>
      <c r="S13" s="74" t="s">
        <v>60</v>
      </c>
      <c r="T13" s="87" t="s">
        <v>59</v>
      </c>
      <c r="U13" s="28" t="s">
        <v>61</v>
      </c>
      <c r="V13" s="101" t="s">
        <v>62</v>
      </c>
      <c r="W13" s="79">
        <v>1</v>
      </c>
      <c r="X13" s="85">
        <v>1</v>
      </c>
      <c r="Y13" s="85">
        <v>0</v>
      </c>
      <c r="Z13" s="85">
        <v>1</v>
      </c>
      <c r="AA13" s="85">
        <v>1</v>
      </c>
      <c r="AB13" s="85">
        <v>1</v>
      </c>
      <c r="AC13" s="85">
        <v>1</v>
      </c>
      <c r="AD13" s="62" t="s">
        <v>63</v>
      </c>
      <c r="AE13" s="62" t="s">
        <v>64</v>
      </c>
      <c r="AF13" s="167">
        <v>2048</v>
      </c>
      <c r="AG13" s="87">
        <v>0</v>
      </c>
      <c r="AH13" s="74">
        <v>150</v>
      </c>
      <c r="AI13" s="169">
        <v>3</v>
      </c>
      <c r="AJ13" s="85">
        <v>0</v>
      </c>
      <c r="AK13" s="85">
        <v>0</v>
      </c>
      <c r="AL13" s="85">
        <v>0</v>
      </c>
      <c r="AM13" s="85">
        <v>0</v>
      </c>
      <c r="AN13" s="85">
        <v>0</v>
      </c>
      <c r="AO13" s="85">
        <v>2</v>
      </c>
      <c r="AP13" s="62" t="s">
        <v>63</v>
      </c>
      <c r="AQ13" s="62" t="s">
        <v>64</v>
      </c>
      <c r="AR13" s="88">
        <v>2048</v>
      </c>
      <c r="AS13" s="87">
        <v>0</v>
      </c>
      <c r="AT13" s="74">
        <v>150</v>
      </c>
      <c r="AU13" s="6"/>
      <c r="AV13" s="187" t="s">
        <v>65</v>
      </c>
      <c r="AW13" s="189">
        <f>IFERROR(IF(ISNUMBER(AV13),AV13,VLOOKUP(AV13,Lists!$U$24:$V$31,2,FALSE)),"")</f>
        <v>35</v>
      </c>
      <c r="AX13" s="6"/>
      <c r="AY13" s="139">
        <f>IFERROR((IF(D13="Narrow Band",'Narrow Band'!DH13-BB!DX13,BB!DZ13-BB!DX13)/BC13),"")</f>
        <v>1.5858471948125175E-2</v>
      </c>
      <c r="AZ13" s="140">
        <f>IFERROR((BB!DX13/BC13),"")</f>
        <v>0</v>
      </c>
      <c r="BA13" s="134">
        <f>IFERROR(( ((X13*Sensors!G4+Y13*Sensors!H4+Z13*Sensors!I4+AB13*Sensors!J4+AB13*Sensors!K4+AC13*Sensors!Q12+AG13*Sensors!AA4)+(AJ13*Sensors!G23+AK13*Sensors!H23+AL13*Sensors!I23+AM13*Sensors!J23+AN13*Sensors!J23+AO13*Sensors!Q31+AS13*Sensors!AA23))/BC13),"")</f>
        <v>0.98414152805187483</v>
      </c>
      <c r="BB13" s="6"/>
      <c r="BC13" s="158">
        <f>IFERROR(   (IF(D13="Narrow Band",'Narrow Band'!DH13,BB!DZ13)+(X13*Sensors!G4+Y13*Sensors!H4+Z13*Sensors!I4+AA13*Sensors!J4+AB13*Sensors!K4+AC13*Sensors!Q12+AG13*Sensors!AA4)+(AJ13*Sensors!G23+AK13*Sensors!H23+AL13*Sensors!I23+AM13*Sensors!J23+AN13*Sensors!J23+AO13*Sensors!Q31+AS13*Sensors!AA23)),"")</f>
        <v>31.52888888888889</v>
      </c>
      <c r="BD13" s="158">
        <f>IFERROR(AW13/BC13*1000/24,"")</f>
        <v>46.253876515365086</v>
      </c>
      <c r="BE13" s="98" t="str">
        <f>IF(ISBLANK('Power Calculator'!$C13),"",INDEX(Lists!$Z$4:$AA$13,MATCH(J13,Lists!$Y$4:$Y$13),IF($D13="Narrow Band",1,2)))</f>
        <v/>
      </c>
      <c r="BF13" s="70" t="str">
        <f>IF(ISBLANK('Power Calculator'!$C13),"",INDEX(Lists!$Z$4:$AA$13,MATCH(N13,Lists!$Y$4:$Y$13),IF($D13="Narrow Band",1,2)))</f>
        <v/>
      </c>
      <c r="BG13" s="94" t="str">
        <f>IF(ISBLANK('Power Calculator'!$C13),"",INDEX(Lists!$Z$4:$AA$13,MATCH(R13,Lists!$Y$4:$Y$13),IF($D13="Narrow Band",1,2)))</f>
        <v/>
      </c>
      <c r="BH13" s="98" t="str">
        <f>IF(ISBLANK('Power Calculator'!$C13),"",BE13/SQRT($E13))</f>
        <v/>
      </c>
      <c r="BI13" s="70" t="str">
        <f>IF(ISBLANK('Power Calculator'!$C13),"",BF13/SQRT($E13))</f>
        <v/>
      </c>
      <c r="BJ13" s="94" t="str">
        <f>IF(ISBLANK('Power Calculator'!$C13),"",BG13/SQRT($E13))</f>
        <v/>
      </c>
      <c r="BK13" s="6"/>
    </row>
    <row r="14" spans="1:63" ht="15">
      <c r="A14" s="6"/>
      <c r="B14" s="156">
        <v>2</v>
      </c>
      <c r="C14" s="79">
        <v>5</v>
      </c>
      <c r="D14" s="73" t="s">
        <v>58</v>
      </c>
      <c r="E14" s="28">
        <v>70</v>
      </c>
      <c r="F14" s="28">
        <v>50</v>
      </c>
      <c r="G14" s="74" t="s">
        <v>59</v>
      </c>
      <c r="H14" s="73">
        <v>20</v>
      </c>
      <c r="I14" s="28">
        <v>1</v>
      </c>
      <c r="J14" s="28">
        <v>2</v>
      </c>
      <c r="K14" s="74" t="s">
        <v>59</v>
      </c>
      <c r="L14" s="73">
        <v>0</v>
      </c>
      <c r="M14" s="28">
        <v>1</v>
      </c>
      <c r="N14" s="28">
        <v>2</v>
      </c>
      <c r="O14" s="74" t="s">
        <v>59</v>
      </c>
      <c r="P14" s="73">
        <v>0</v>
      </c>
      <c r="Q14" s="28">
        <v>2</v>
      </c>
      <c r="R14" s="28">
        <v>3</v>
      </c>
      <c r="S14" s="74" t="s">
        <v>60</v>
      </c>
      <c r="T14" s="87" t="s">
        <v>59</v>
      </c>
      <c r="U14" s="28" t="s">
        <v>61</v>
      </c>
      <c r="V14" s="101" t="s">
        <v>62</v>
      </c>
      <c r="W14" s="79">
        <v>60</v>
      </c>
      <c r="X14" s="85">
        <v>1</v>
      </c>
      <c r="Y14" s="85">
        <v>0</v>
      </c>
      <c r="Z14" s="85">
        <v>1</v>
      </c>
      <c r="AA14" s="85">
        <v>1</v>
      </c>
      <c r="AB14" s="85">
        <v>1</v>
      </c>
      <c r="AC14" s="85">
        <v>0</v>
      </c>
      <c r="AD14" s="62" t="s">
        <v>63</v>
      </c>
      <c r="AE14" s="62" t="s">
        <v>64</v>
      </c>
      <c r="AF14" s="167">
        <v>2048</v>
      </c>
      <c r="AG14" s="87">
        <v>0</v>
      </c>
      <c r="AH14" s="74">
        <v>150</v>
      </c>
      <c r="AI14" s="169"/>
      <c r="AJ14" s="85">
        <v>0</v>
      </c>
      <c r="AK14" s="85">
        <v>0</v>
      </c>
      <c r="AL14" s="85">
        <v>0</v>
      </c>
      <c r="AM14" s="85">
        <v>0</v>
      </c>
      <c r="AN14" s="85">
        <v>0</v>
      </c>
      <c r="AO14" s="85">
        <v>0</v>
      </c>
      <c r="AP14" s="62" t="s">
        <v>63</v>
      </c>
      <c r="AQ14" s="62" t="s">
        <v>64</v>
      </c>
      <c r="AR14" s="88">
        <v>2048</v>
      </c>
      <c r="AS14" s="87">
        <v>0</v>
      </c>
      <c r="AT14" s="74">
        <v>150</v>
      </c>
      <c r="AU14" s="6"/>
      <c r="AV14" s="187" t="s">
        <v>65</v>
      </c>
      <c r="AW14" s="189">
        <f>IFERROR(IF(ISNUMBER(AV14),AV14,VLOOKUP(AV14,Lists!$U$24:$V$31,2,FALSE)),"")</f>
        <v>35</v>
      </c>
      <c r="AX14" s="6"/>
      <c r="AY14" s="139">
        <f>IFERROR((IF(D14="Narrow Band",'Narrow Band'!DH14-BB!DX14,BB!DZ14-BB!DX14)/BC14),"")</f>
        <v>0.98441010845347865</v>
      </c>
      <c r="AZ14" s="140">
        <f>IFERROR((BB!DX14/BC14),"")</f>
        <v>0</v>
      </c>
      <c r="BA14" s="134">
        <f>IFERROR(( ((X14*Sensors!G5+Y14*Sensors!H5+Z14*Sensors!I5+AB14*Sensors!J5+AB14*Sensors!K5+AC14*Sensors!Q13+AG14*Sensors!AA5)+(AJ14*Sensors!G24+AK14*Sensors!H24+AL14*Sensors!I24+AM14*Sensors!J24+AN14*Sensors!J24+AO14*Sensors!Q32+AS14*Sensors!AA24))/BC14),"")</f>
        <v>1.5589891546521455E-2</v>
      </c>
      <c r="BB14" s="6"/>
      <c r="BC14" s="158">
        <f>IFERROR(   (IF(D14="Narrow Band",'Narrow Band'!DH14,BB!DZ14)+(X14*Sensors!G5+Y14*Sensors!H5+Z14*Sensors!I5+AA14*Sensors!J5+AB14*Sensors!K5+AC14*Sensors!Q13+AG14*Sensors!AA5)+(AJ14*Sensors!G24+AK14*Sensors!H24+AL14*Sensors!I24+AM14*Sensors!J24+AN14*Sensors!J24+AO14*Sensors!Q32+AS14*Sensors!AA24)),"")</f>
        <v>53.346533180484819</v>
      </c>
      <c r="BD14" s="158">
        <f t="shared" ref="BD14:BD17" si="0">IFERROR(AW14/BC14*1000/24,"")</f>
        <v>27.336984174762076</v>
      </c>
      <c r="BE14" s="98">
        <f>IF(ISBLANK('Power Calculator'!$C14),"",INDEX(Lists!$Z$4:$AA$13,MATCH(J14,Lists!$Y$4:$Y$13),IF($D14="Narrow Band",1,2)))</f>
        <v>3</v>
      </c>
      <c r="BF14" s="70">
        <f>IF(ISBLANK('Power Calculator'!$C14),"",INDEX(Lists!$Z$4:$AA$13,MATCH(N14,Lists!$Y$4:$Y$13),IF($D14="Narrow Band",1,2)))</f>
        <v>3</v>
      </c>
      <c r="BG14" s="94">
        <f>IF(ISBLANK('Power Calculator'!$C14),"",INDEX(Lists!$Z$4:$AA$13,MATCH(R14,Lists!$Y$4:$Y$13),IF($D14="Narrow Band",1,2)))</f>
        <v>2.5</v>
      </c>
      <c r="BH14" s="98">
        <f>IF(ISBLANK('Power Calculator'!$C14),"",BE14/SQRT($E14))</f>
        <v>0.35856858280031806</v>
      </c>
      <c r="BI14" s="70">
        <f>IF(ISBLANK('Power Calculator'!$C14),"",BF14/SQRT($E14))</f>
        <v>0.35856858280031806</v>
      </c>
      <c r="BJ14" s="94">
        <f>IF(ISBLANK('Power Calculator'!$C14),"",BG14/SQRT($E14))</f>
        <v>0.29880715233359839</v>
      </c>
      <c r="BK14" s="6"/>
    </row>
    <row r="15" spans="1:63" ht="15">
      <c r="A15" s="6"/>
      <c r="B15" s="156">
        <v>3</v>
      </c>
      <c r="C15" s="79"/>
      <c r="D15" s="73" t="s">
        <v>58</v>
      </c>
      <c r="E15" s="28">
        <v>50</v>
      </c>
      <c r="F15" s="28">
        <v>40</v>
      </c>
      <c r="G15" s="74" t="s">
        <v>60</v>
      </c>
      <c r="H15" s="73">
        <v>40</v>
      </c>
      <c r="I15" s="28">
        <v>2</v>
      </c>
      <c r="J15" s="28">
        <v>1</v>
      </c>
      <c r="K15" s="74" t="s">
        <v>59</v>
      </c>
      <c r="L15" s="73">
        <v>0</v>
      </c>
      <c r="M15" s="28">
        <v>30</v>
      </c>
      <c r="N15" s="28">
        <v>2</v>
      </c>
      <c r="O15" s="74" t="s">
        <v>60</v>
      </c>
      <c r="P15" s="73">
        <v>0</v>
      </c>
      <c r="Q15" s="28">
        <v>2</v>
      </c>
      <c r="R15" s="28">
        <v>2</v>
      </c>
      <c r="S15" s="74" t="s">
        <v>60</v>
      </c>
      <c r="T15" s="87" t="s">
        <v>59</v>
      </c>
      <c r="U15" s="28" t="s">
        <v>63</v>
      </c>
      <c r="V15" s="101" t="s">
        <v>62</v>
      </c>
      <c r="W15" s="79">
        <v>60</v>
      </c>
      <c r="X15" s="85">
        <v>1</v>
      </c>
      <c r="Y15" s="85">
        <v>1</v>
      </c>
      <c r="Z15" s="85">
        <v>1</v>
      </c>
      <c r="AA15" s="85">
        <v>1</v>
      </c>
      <c r="AB15" s="85">
        <v>0</v>
      </c>
      <c r="AC15" s="85">
        <v>0</v>
      </c>
      <c r="AD15" s="62" t="s">
        <v>63</v>
      </c>
      <c r="AE15" s="62" t="s">
        <v>64</v>
      </c>
      <c r="AF15" s="167">
        <v>512</v>
      </c>
      <c r="AG15" s="87">
        <v>1</v>
      </c>
      <c r="AH15" s="74">
        <v>150</v>
      </c>
      <c r="AI15" s="169"/>
      <c r="AJ15" s="85">
        <v>0</v>
      </c>
      <c r="AK15" s="85">
        <v>0</v>
      </c>
      <c r="AL15" s="85">
        <v>0</v>
      </c>
      <c r="AM15" s="85">
        <v>0</v>
      </c>
      <c r="AN15" s="85">
        <v>0</v>
      </c>
      <c r="AO15" s="85">
        <v>0</v>
      </c>
      <c r="AP15" s="62" t="s">
        <v>63</v>
      </c>
      <c r="AQ15" s="62" t="s">
        <v>64</v>
      </c>
      <c r="AR15" s="88">
        <v>512</v>
      </c>
      <c r="AS15" s="87">
        <v>0</v>
      </c>
      <c r="AT15" s="74">
        <v>150</v>
      </c>
      <c r="AU15" s="6"/>
      <c r="AV15" s="187" t="s">
        <v>65</v>
      </c>
      <c r="AW15" s="189">
        <f>IFERROR(IF(ISNUMBER(AV15),AV15,VLOOKUP(AV15,Lists!$U$24:$V$31,2,FALSE)),"")</f>
        <v>35</v>
      </c>
      <c r="AX15" s="6"/>
      <c r="AY15" s="139">
        <f>IFERROR((IF(D15="Narrow Band",'Narrow Band'!DH15-BB!DX15,BB!DZ15-BB!DX15)/BC15),"")</f>
        <v>0.24073826400962953</v>
      </c>
      <c r="AZ15" s="140">
        <f>IFERROR((BB!DX15/BC15),"")</f>
        <v>0</v>
      </c>
      <c r="BA15" s="134">
        <f>IFERROR(( ((X15*Sensors!G6+Y15*Sensors!H6+Z15*Sensors!I6+AB15*Sensors!J6+AB15*Sensors!K6+AC15*Sensors!Q14+AG15*Sensors!AA6)+(AJ15*Sensors!G25+AK15*Sensors!H25+AL15*Sensors!I25+AM15*Sensors!J25+AN15*Sensors!J25+AO15*Sensors!Q33+AS15*Sensors!AA25))/BC15),"")</f>
        <v>0.6758058044670322</v>
      </c>
      <c r="BB15" s="6"/>
      <c r="BC15" s="158">
        <f>IFERROR(   (IF(D15="Narrow Band",'Narrow Band'!DH15,BB!DZ15)+(X15*Sensors!G6+Y15*Sensors!H6+Z15*Sensors!I6+AA15*Sensors!J6+AB15*Sensors!K6+AC15*Sensors!Q14+AG15*Sensors!AA6)+(AJ15*Sensors!G25+AK15*Sensors!H25+AL15*Sensors!I25+AM15*Sensors!J25+AN15*Sensors!J25+AO15*Sensors!Q33+AS15*Sensors!AA25)),"")</f>
        <v>2.0769444444444445</v>
      </c>
      <c r="BD15" s="158">
        <f t="shared" si="0"/>
        <v>702.15327002808624</v>
      </c>
      <c r="BE15" s="98" t="str">
        <f>IF(ISBLANK('Power Calculator'!$C15),"",INDEX(Lists!$Z$4:$AA$13,MATCH(J15,Lists!$Y$4:$Y$13),IF($D15="Narrow Band",1,2)))</f>
        <v/>
      </c>
      <c r="BF15" s="70" t="str">
        <f>IF(ISBLANK('Power Calculator'!$C15),"",INDEX(Lists!$Z$4:$AA$13,MATCH(N15,Lists!$Y$4:$Y$13),IF($D15="Narrow Band",1,2)))</f>
        <v/>
      </c>
      <c r="BG15" s="94" t="str">
        <f>IF(ISBLANK('Power Calculator'!$C15),"",INDEX(Lists!$Z$4:$AA$13,MATCH(R15,Lists!$Y$4:$Y$13),IF($D15="Narrow Band",1,2)))</f>
        <v/>
      </c>
      <c r="BH15" s="98" t="str">
        <f>IF(ISBLANK('Power Calculator'!$C15),"",BE15/SQRT($E15))</f>
        <v/>
      </c>
      <c r="BI15" s="70" t="str">
        <f>IF(ISBLANK('Power Calculator'!$C15),"",BF15/SQRT($E15))</f>
        <v/>
      </c>
      <c r="BJ15" s="94" t="str">
        <f>IF(ISBLANK('Power Calculator'!$C15),"",BG15/SQRT($E15))</f>
        <v/>
      </c>
      <c r="BK15" s="6"/>
    </row>
    <row r="16" spans="1:63" ht="15">
      <c r="A16" s="6"/>
      <c r="B16" s="156">
        <v>4</v>
      </c>
      <c r="C16" s="79">
        <v>30</v>
      </c>
      <c r="D16" s="73" t="s">
        <v>66</v>
      </c>
      <c r="E16" s="28">
        <v>200</v>
      </c>
      <c r="F16" s="28">
        <v>50</v>
      </c>
      <c r="G16" s="74" t="s">
        <v>60</v>
      </c>
      <c r="H16" s="73">
        <v>40</v>
      </c>
      <c r="I16" s="28">
        <v>2</v>
      </c>
      <c r="J16" s="28">
        <v>1</v>
      </c>
      <c r="K16" s="74" t="s">
        <v>59</v>
      </c>
      <c r="L16" s="73">
        <v>0</v>
      </c>
      <c r="M16" s="28"/>
      <c r="N16" s="28"/>
      <c r="O16" s="74"/>
      <c r="P16" s="73">
        <v>0</v>
      </c>
      <c r="Q16" s="28"/>
      <c r="R16" s="28"/>
      <c r="S16" s="74"/>
      <c r="T16" s="87" t="s">
        <v>59</v>
      </c>
      <c r="U16" s="28" t="s">
        <v>61</v>
      </c>
      <c r="V16" s="101" t="s">
        <v>62</v>
      </c>
      <c r="W16" s="79">
        <v>30</v>
      </c>
      <c r="X16" s="85">
        <v>0</v>
      </c>
      <c r="Y16" s="85">
        <v>1</v>
      </c>
      <c r="Z16" s="85">
        <v>1</v>
      </c>
      <c r="AA16" s="85">
        <v>1</v>
      </c>
      <c r="AB16" s="85">
        <v>0</v>
      </c>
      <c r="AC16" s="85">
        <v>0</v>
      </c>
      <c r="AD16" s="62" t="s">
        <v>63</v>
      </c>
      <c r="AE16" s="62" t="s">
        <v>64</v>
      </c>
      <c r="AF16" s="167">
        <v>512</v>
      </c>
      <c r="AG16" s="87">
        <v>0</v>
      </c>
      <c r="AH16" s="74">
        <v>150</v>
      </c>
      <c r="AI16" s="169"/>
      <c r="AJ16" s="85">
        <v>0</v>
      </c>
      <c r="AK16" s="85">
        <v>0</v>
      </c>
      <c r="AL16" s="85">
        <v>0</v>
      </c>
      <c r="AM16" s="85">
        <v>0</v>
      </c>
      <c r="AN16" s="85">
        <v>0</v>
      </c>
      <c r="AO16" s="85">
        <v>1</v>
      </c>
      <c r="AP16" s="62" t="s">
        <v>63</v>
      </c>
      <c r="AQ16" s="62" t="s">
        <v>64</v>
      </c>
      <c r="AR16" s="88">
        <v>2048</v>
      </c>
      <c r="AS16" s="87">
        <v>0</v>
      </c>
      <c r="AT16" s="74">
        <v>150</v>
      </c>
      <c r="AU16" s="6"/>
      <c r="AV16" s="187" t="s">
        <v>67</v>
      </c>
      <c r="AW16" s="189">
        <f>IFERROR(IF(ISNUMBER(AV16),AV16,VLOOKUP(AV16,Lists!$U$24:$V$31,2,FALSE)),"")</f>
        <v>70</v>
      </c>
      <c r="AX16" s="6"/>
      <c r="AY16" s="139">
        <f>IFERROR((IF(D16="Narrow Band",'Narrow Band'!DH16-BB!DX16,BB!DZ16-BB!DX16)/BC16),"")</f>
        <v>0.91577305565986455</v>
      </c>
      <c r="AZ16" s="140">
        <f>IFERROR((BB!DX16/BC16),"")</f>
        <v>0</v>
      </c>
      <c r="BA16" s="134">
        <f>IFERROR(( ((X16*Sensors!G7+Y16*Sensors!H7+Z16*Sensors!I7+AB16*Sensors!J7+AB16*Sensors!K7+AC16*Sensors!Q15+AG16*Sensors!AA7)+(AJ16*Sensors!G26+AK16*Sensors!H26+AL16*Sensors!I26+AM16*Sensors!J26+AN16*Sensors!J26+AO16*Sensors!Q34+AS16*Sensors!AA26))/BC16),"")</f>
        <v>6.897907408373849E-2</v>
      </c>
      <c r="BB16" s="6"/>
      <c r="BC16" s="158">
        <f>IFERROR(   (IF(D16="Narrow Band",'Narrow Band'!DH16,BB!DZ16)+(X16*Sensors!G7+Y16*Sensors!H7+Z16*Sensors!I7+AA16*Sensors!J7+AB16*Sensors!K7+AC16*Sensors!Q15+AG16*Sensors!AA7)+(AJ16*Sensors!G26+AK16*Sensors!H26+AL16*Sensors!I26+AM16*Sensors!J26+AN16*Sensors!J26+AO16*Sensors!Q34+AS16*Sensors!AA26)),"")</f>
        <v>12.242146839382604</v>
      </c>
      <c r="BD16" s="158">
        <f t="shared" si="0"/>
        <v>238.24797275620327</v>
      </c>
      <c r="BE16" s="98">
        <f>IF(ISBLANK('Power Calculator'!$C16),"",INDEX(Lists!$Z$4:$AA$13,MATCH(J16,Lists!$Y$4:$Y$13),IF($D16="Narrow Band",1,2)))</f>
        <v>45</v>
      </c>
      <c r="BF16" s="70" t="e">
        <f>IF(ISBLANK('Power Calculator'!$C16),"",INDEX(Lists!$Z$4:$AA$13,MATCH(N16,Lists!$Y$4:$Y$13),IF($D16="Narrow Band",1,2)))</f>
        <v>#N/A</v>
      </c>
      <c r="BG16" s="94" t="e">
        <f>IF(ISBLANK('Power Calculator'!$C16),"",INDEX(Lists!$Z$4:$AA$13,MATCH(R16,Lists!$Y$4:$Y$13),IF($D16="Narrow Band",1,2)))</f>
        <v>#N/A</v>
      </c>
      <c r="BH16" s="98">
        <f>IF(ISBLANK('Power Calculator'!$C16),"",BE16/SQRT($E16))</f>
        <v>3.1819805153394638</v>
      </c>
      <c r="BI16" s="70" t="e">
        <f>IF(ISBLANK('Power Calculator'!$C16),"",BF16/SQRT($E16))</f>
        <v>#N/A</v>
      </c>
      <c r="BJ16" s="94" t="e">
        <f>IF(ISBLANK('Power Calculator'!$C16),"",BG16/SQRT($E16))</f>
        <v>#N/A</v>
      </c>
      <c r="BK16" s="6"/>
    </row>
    <row r="17" spans="1:63" ht="15.75" thickBot="1">
      <c r="A17" s="6"/>
      <c r="B17" s="157">
        <v>5</v>
      </c>
      <c r="C17" s="80">
        <v>30</v>
      </c>
      <c r="D17" s="75" t="s">
        <v>66</v>
      </c>
      <c r="E17" s="76">
        <v>20</v>
      </c>
      <c r="F17" s="76">
        <v>60</v>
      </c>
      <c r="G17" s="77" t="s">
        <v>59</v>
      </c>
      <c r="H17" s="75">
        <v>60</v>
      </c>
      <c r="I17" s="76">
        <v>2</v>
      </c>
      <c r="J17" s="76">
        <v>2</v>
      </c>
      <c r="K17" s="77" t="s">
        <v>60</v>
      </c>
      <c r="L17" s="75">
        <v>0</v>
      </c>
      <c r="M17" s="76">
        <v>1</v>
      </c>
      <c r="N17" s="76">
        <v>1</v>
      </c>
      <c r="O17" s="77" t="s">
        <v>59</v>
      </c>
      <c r="P17" s="75">
        <v>0</v>
      </c>
      <c r="Q17" s="76">
        <v>2</v>
      </c>
      <c r="R17" s="76">
        <v>3</v>
      </c>
      <c r="S17" s="77" t="s">
        <v>60</v>
      </c>
      <c r="T17" s="89" t="s">
        <v>59</v>
      </c>
      <c r="U17" s="76" t="s">
        <v>61</v>
      </c>
      <c r="V17" s="102" t="s">
        <v>68</v>
      </c>
      <c r="W17" s="80"/>
      <c r="X17" s="86">
        <v>0</v>
      </c>
      <c r="Y17" s="86">
        <v>1</v>
      </c>
      <c r="Z17" s="86">
        <v>1</v>
      </c>
      <c r="AA17" s="86">
        <v>1</v>
      </c>
      <c r="AB17" s="86">
        <v>0</v>
      </c>
      <c r="AC17" s="86">
        <v>2</v>
      </c>
      <c r="AD17" s="194" t="s">
        <v>61</v>
      </c>
      <c r="AE17" s="90" t="s">
        <v>69</v>
      </c>
      <c r="AF17" s="91" t="s">
        <v>70</v>
      </c>
      <c r="AG17" s="89">
        <v>0</v>
      </c>
      <c r="AH17" s="77">
        <v>150</v>
      </c>
      <c r="AI17" s="170"/>
      <c r="AJ17" s="86">
        <v>0</v>
      </c>
      <c r="AK17" s="86">
        <v>0</v>
      </c>
      <c r="AL17" s="86">
        <v>0</v>
      </c>
      <c r="AM17" s="86">
        <v>0</v>
      </c>
      <c r="AN17" s="86">
        <v>0</v>
      </c>
      <c r="AO17" s="86">
        <v>0</v>
      </c>
      <c r="AP17" s="90" t="s">
        <v>63</v>
      </c>
      <c r="AQ17" s="90" t="s">
        <v>64</v>
      </c>
      <c r="AR17" s="91" t="s">
        <v>70</v>
      </c>
      <c r="AS17" s="89">
        <v>0</v>
      </c>
      <c r="AT17" s="77">
        <v>150</v>
      </c>
      <c r="AU17" s="6"/>
      <c r="AV17" s="188" t="s">
        <v>71</v>
      </c>
      <c r="AW17" s="193">
        <f>IFERROR(IF(ISNUMBER(AV17),AV17,VLOOKUP(AV17,Lists!$U$24:$V$31,2,FALSE)),"")</f>
        <v>30</v>
      </c>
      <c r="AX17" s="6"/>
      <c r="AY17" s="160">
        <f>IFERROR((IF(D17="Narrow Band",'Narrow Band'!DH17-BB!DX17,BB!DZ17-BB!DX17)/BC17),"")</f>
        <v>0.67135778323281581</v>
      </c>
      <c r="AZ17" s="161">
        <f>IFERROR((BB!DX17/BC17),"")</f>
        <v>0</v>
      </c>
      <c r="BA17" s="162">
        <f>IFERROR(( ((X17*Sensors!G8+Y17*Sensors!H8+Z17*Sensors!I8+AB17*Sensors!J8+AB17*Sensors!K8+AC17*Sensors!Q16+AG17*Sensors!AA8)+(AJ17*Sensors!G27+AK17*Sensors!H27+AL17*Sensors!I27+AM17*Sensors!J27+AN17*Sensors!J27+AO17*Sensors!Q35+AS17*Sensors!AA27))/BC17),"")</f>
        <v>0.29026063159507964</v>
      </c>
      <c r="BB17" s="6"/>
      <c r="BC17" s="159">
        <f>IFERROR(   (IF(D17="Narrow Band",'Narrow Band'!DH17,BB!DZ17)+(X17*Sensors!G8+Y17*Sensors!H8+Z17*Sensors!I8+AA17*Sensors!J8+AB17*Sensors!K8+AC17*Sensors!Q16+AG17*Sensors!AA8)+(AJ17*Sensors!G27+AK17*Sensors!H27+AL17*Sensors!I27+AM17*Sensors!J27+AN17*Sensors!J27+AO17*Sensors!Q35+AS17*Sensors!AA27)),"")</f>
        <v>4.1686678463787628</v>
      </c>
      <c r="BD17" s="159">
        <f t="shared" si="0"/>
        <v>299.85598422907441</v>
      </c>
      <c r="BE17" s="99">
        <f>IF(ISBLANK('Power Calculator'!$C17),"",INDEX(Lists!$Z$4:$AA$13,MATCH(J17,Lists!$Y$4:$Y$13),IF($D17="Narrow Band",1,2)))</f>
        <v>22</v>
      </c>
      <c r="BF17" s="100">
        <f>IF(ISBLANK('Power Calculator'!$C17),"",INDEX(Lists!$Z$4:$AA$13,MATCH(N17,Lists!$Y$4:$Y$13),IF($D17="Narrow Band",1,2)))</f>
        <v>45</v>
      </c>
      <c r="BG17" s="95">
        <f>IF(ISBLANK('Power Calculator'!$C17),"",INDEX(Lists!$Z$4:$AA$13,MATCH(R17,Lists!$Y$4:$Y$13),IF($D17="Narrow Band",1,2)))</f>
        <v>15</v>
      </c>
      <c r="BH17" s="99">
        <f>IF(ISBLANK('Power Calculator'!$C17),"",BE17/SQRT($E17))</f>
        <v>4.919349550499537</v>
      </c>
      <c r="BI17" s="100">
        <f>IF(ISBLANK('Power Calculator'!$C17),"",BF17/SQRT($E17))</f>
        <v>10.062305898749052</v>
      </c>
      <c r="BJ17" s="95">
        <f>IF(ISBLANK('Power Calculator'!$C17),"",BG17/SQRT($E17))</f>
        <v>3.3541019662496843</v>
      </c>
      <c r="BK17" s="6"/>
    </row>
    <row r="18" spans="1:63" ht="15">
      <c r="A18" s="6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</row>
    <row r="19" spans="1:63" ht="15">
      <c r="A19" s="6"/>
      <c r="B19" s="15"/>
      <c r="C19" s="15"/>
      <c r="D19" s="15"/>
      <c r="E19" s="15"/>
      <c r="F19" s="15"/>
      <c r="G19" s="15"/>
      <c r="H19" s="128" t="str">
        <f>IF(SUM($H$13,$L$13,$P$13)&gt;150,"Total number of cells for all columns must be less or equal to 150","")</f>
        <v/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</row>
    <row r="20" spans="1:63" ht="15" hidden="1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63" ht="15" hidden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63" ht="15" hidden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63" ht="15" hidden="1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63" ht="15" hidden="1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63" ht="15" hidden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63" ht="15" hidden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63" ht="15" hidden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63" ht="15" hidden="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63" ht="15" hidden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63" ht="15" hidden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63" ht="15" hidden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</sheetData>
  <sheetProtection algorithmName="SHA-512" hashValue="u5Y/HMwiTRZStGCGVtzi9Holtxbcb9R4S1eOw/djFcQ/ymlLfUaG0BmA7QKPsBTHyxFveDpfAHHgIQ79LupQrQ==" saltValue="LCajutSx41bSJPjGCX3CEA==" spinCount="100000" sheet="1" selectLockedCells="1"/>
  <mergeCells count="23">
    <mergeCell ref="BC10:BC11"/>
    <mergeCell ref="D8:L8"/>
    <mergeCell ref="L11:O11"/>
    <mergeCell ref="P11:S11"/>
    <mergeCell ref="D11:G11"/>
    <mergeCell ref="AY10:BA10"/>
    <mergeCell ref="AO11:AR11"/>
    <mergeCell ref="A1:BK4"/>
    <mergeCell ref="AC11:AF11"/>
    <mergeCell ref="AV10:AW10"/>
    <mergeCell ref="AI10:AT10"/>
    <mergeCell ref="W10:AH10"/>
    <mergeCell ref="AG11:AH11"/>
    <mergeCell ref="AS11:AT11"/>
    <mergeCell ref="B10:B12"/>
    <mergeCell ref="BD10:BD11"/>
    <mergeCell ref="C10:V10"/>
    <mergeCell ref="BE10:BG10"/>
    <mergeCell ref="BH10:BJ10"/>
    <mergeCell ref="D7:G7"/>
    <mergeCell ref="Q7:U7"/>
    <mergeCell ref="T11:V11"/>
    <mergeCell ref="H11:K11"/>
  </mergeCells>
  <phoneticPr fontId="13" type="noConversion"/>
  <conditionalFormatting sqref="C13:C17">
    <cfRule type="expression" dxfId="39" priority="54">
      <formula>C13=""</formula>
    </cfRule>
  </conditionalFormatting>
  <conditionalFormatting sqref="D13:H14">
    <cfRule type="expression" dxfId="37" priority="334">
      <formula>ISBLANK($C13)</formula>
    </cfRule>
  </conditionalFormatting>
  <conditionalFormatting sqref="D15:K17">
    <cfRule type="expression" dxfId="36" priority="56">
      <formula>ISBLANK($C15)</formula>
    </cfRule>
  </conditionalFormatting>
  <conditionalFormatting sqref="H13:H17 L13:L17 P13:P17">
    <cfRule type="expression" dxfId="35" priority="51">
      <formula>SUM($H$13,$L$13,$P$13)&gt;150</formula>
    </cfRule>
  </conditionalFormatting>
  <conditionalFormatting sqref="L13:L17 P13:P17">
    <cfRule type="expression" dxfId="34" priority="337">
      <formula>ISBLANK($C13)</formula>
    </cfRule>
  </conditionalFormatting>
  <conditionalFormatting sqref="L13:L17">
    <cfRule type="expression" dxfId="33" priority="116">
      <formula>OR(ISBLANK(C13),L13&lt;1)</formula>
    </cfRule>
  </conditionalFormatting>
  <conditionalFormatting sqref="M13:O17">
    <cfRule type="expression" dxfId="32" priority="5">
      <formula>OR($L13&lt;1,NOT(ISNUMBER($C13)))</formula>
    </cfRule>
  </conditionalFormatting>
  <conditionalFormatting sqref="N14:O14">
    <cfRule type="expression" dxfId="31" priority="4">
      <formula>OR($L14&lt;1,NOT(ISNUMBER($C14)))</formula>
    </cfRule>
  </conditionalFormatting>
  <conditionalFormatting sqref="N17:O17">
    <cfRule type="expression" dxfId="30" priority="111">
      <formula>OR($L17&lt;1,NOT(ISNUMBER($C17)))</formula>
    </cfRule>
  </conditionalFormatting>
  <conditionalFormatting sqref="P13:P17">
    <cfRule type="expression" dxfId="29" priority="118">
      <formula>OR(ISBLANK(C13),P13&lt;1)</formula>
    </cfRule>
  </conditionalFormatting>
  <conditionalFormatting sqref="Q13:S17">
    <cfRule type="expression" dxfId="28" priority="89">
      <formula>OR($P13&lt;1,NOT(ISNUMBER($C13)))</formula>
    </cfRule>
  </conditionalFormatting>
  <conditionalFormatting sqref="T13:T17">
    <cfRule type="expression" dxfId="27" priority="86">
      <formula>OR(T13="No",NOT(ISNUMBER($C13)))</formula>
    </cfRule>
  </conditionalFormatting>
  <conditionalFormatting sqref="U13:V14">
    <cfRule type="expression" dxfId="26" priority="157">
      <formula>OR($T13="No",$T13="",NOT(ISNUMBER($C13)))</formula>
    </cfRule>
  </conditionalFormatting>
  <conditionalFormatting sqref="U15:V17">
    <cfRule type="expression" dxfId="25" priority="74">
      <formula>OR($T15="No",$T15="",NOT(ISNUMBER($C15)))</formula>
    </cfRule>
  </conditionalFormatting>
  <conditionalFormatting sqref="W13:W17">
    <cfRule type="expression" dxfId="23" priority="30">
      <formula>ISBLANK(W13)</formula>
    </cfRule>
  </conditionalFormatting>
  <conditionalFormatting sqref="X13:AC17">
    <cfRule type="expression" dxfId="22" priority="9">
      <formula>X13&lt;1</formula>
    </cfRule>
  </conditionalFormatting>
  <conditionalFormatting sqref="AD13:AF17">
    <cfRule type="expression" dxfId="21" priority="2">
      <formula>$AC13&lt;1</formula>
    </cfRule>
  </conditionalFormatting>
  <conditionalFormatting sqref="AG13:AG17">
    <cfRule type="expression" dxfId="20" priority="20">
      <formula>AG13&lt;1</formula>
    </cfRule>
  </conditionalFormatting>
  <conditionalFormatting sqref="AH13:AH17">
    <cfRule type="expression" dxfId="19" priority="18">
      <formula>AG13=0</formula>
    </cfRule>
  </conditionalFormatting>
  <conditionalFormatting sqref="AI13:AI17">
    <cfRule type="expression" dxfId="18" priority="27">
      <formula>ISBLANK(AI13)</formula>
    </cfRule>
  </conditionalFormatting>
  <conditionalFormatting sqref="AJ13:AO17">
    <cfRule type="expression" dxfId="17" priority="6">
      <formula>AJ13&lt;1</formula>
    </cfRule>
  </conditionalFormatting>
  <conditionalFormatting sqref="AP13:AR17">
    <cfRule type="expression" dxfId="16" priority="347">
      <formula>AO13&lt;1</formula>
    </cfRule>
  </conditionalFormatting>
  <conditionalFormatting sqref="AS13:AS17">
    <cfRule type="expression" dxfId="15" priority="19">
      <formula>AS13&lt;1</formula>
    </cfRule>
  </conditionalFormatting>
  <conditionalFormatting sqref="AT13:AT17">
    <cfRule type="expression" dxfId="14" priority="16">
      <formula>AS13=0</formula>
    </cfRule>
  </conditionalFormatting>
  <conditionalFormatting sqref="AV13:AV17">
    <cfRule type="expression" dxfId="13" priority="350">
      <formula>AND(ISBLANK(C13),ISBLANK(W13),ISBLANK(AI13) )</formula>
    </cfRule>
  </conditionalFormatting>
  <conditionalFormatting sqref="AW13:AW17">
    <cfRule type="expression" dxfId="12" priority="351">
      <formula>AND(ISBLANK(C13),ISBLANK(W13),ISBLANK(AI13) )</formula>
    </cfRule>
  </conditionalFormatting>
  <conditionalFormatting sqref="AY13:BA17">
    <cfRule type="dataBar" priority="12">
      <dataBar>
        <cfvo type="percent" val="0"/>
        <cfvo type="percent" val="100"/>
        <color theme="4" tint="-0.249977111117893"/>
      </dataBar>
      <extLst>
        <ext xmlns:x14="http://schemas.microsoft.com/office/spreadsheetml/2009/9/main" uri="{B025F937-C7B1-47D3-B67F-A62EFF666E3E}">
          <x14:id>{5777A6A0-0B99-416A-8252-69E063DA8A99}</x14:id>
        </ext>
      </extLst>
    </cfRule>
    <cfRule type="expression" dxfId="11" priority="11" stopIfTrue="1">
      <formula>AND(ISBLANK($C13),ISBLANK($W13),ISBLANK($AI13) )</formula>
    </cfRule>
  </conditionalFormatting>
  <conditionalFormatting sqref="BC13:BC17">
    <cfRule type="expression" dxfId="10" priority="348">
      <formula>AND(ISBLANK(C13),ISBLANK(W13),ISBLANK(AI13) )</formula>
    </cfRule>
  </conditionalFormatting>
  <conditionalFormatting sqref="BD13:BD17">
    <cfRule type="expression" dxfId="9" priority="349">
      <formula>AND(ISBLANK(C13),ISBLANK(W13),ISBLANK(AI13) )</formula>
    </cfRule>
  </conditionalFormatting>
  <conditionalFormatting sqref="BE14:BG17">
    <cfRule type="expression" dxfId="8" priority="230">
      <formula>NOT(ISNUMBER($C14))</formula>
    </cfRule>
  </conditionalFormatting>
  <conditionalFormatting sqref="BF13:BF17">
    <cfRule type="expression" dxfId="7" priority="232">
      <formula>OR($L13&lt;1,NOT(ISNUMBER($C13)))</formula>
    </cfRule>
  </conditionalFormatting>
  <conditionalFormatting sqref="BG13:BG17">
    <cfRule type="expression" dxfId="6" priority="231">
      <formula>OR($P13&lt;1,NOT(ISNUMBER($C13)))</formula>
    </cfRule>
  </conditionalFormatting>
  <conditionalFormatting sqref="BH13:BJ17">
    <cfRule type="expression" dxfId="5" priority="229">
      <formula>NOT(ISNUMBER($C13))</formula>
    </cfRule>
  </conditionalFormatting>
  <conditionalFormatting sqref="BI13:BI17">
    <cfRule type="expression" dxfId="4" priority="314">
      <formula>OR($L13&lt;1,NOT(ISNUMBER($C13)))</formula>
    </cfRule>
  </conditionalFormatting>
  <conditionalFormatting sqref="BJ13:BJ17">
    <cfRule type="expression" dxfId="3" priority="310">
      <formula>OR($P13&lt;1,NOT(ISNUMBER($C13)))</formula>
    </cfRule>
  </conditionalFormatting>
  <hyperlinks>
    <hyperlink ref="Q6" r:id="rId1" display="SeaGuardII DCP Power Calculator" xr:uid="{76FB315E-0671-4FD4-A62A-0694B4BCB713}"/>
    <hyperlink ref="X8" r:id="rId2" xr:uid="{5BC6E2B9-AE10-4AD0-A83B-9FA9606F947A}"/>
    <hyperlink ref="AB6" r:id="rId3" xr:uid="{A8281EB1-81AD-40F1-BFD6-55C63E5A63F5}"/>
    <hyperlink ref="AE8" r:id="rId4" xr:uid="{A76586FD-D429-4F58-BF1F-5810117967B8}"/>
    <hyperlink ref="AK8" r:id="rId5" xr:uid="{ADD439DC-D02B-4A29-BF9D-B48E578D2615}"/>
    <hyperlink ref="AP7" r:id="rId6" xr:uid="{BECD8CF8-9056-47FE-82C0-DA29A8BA654F}"/>
    <hyperlink ref="AH6" r:id="rId7" xr:uid="{FF9CE6D2-699D-4DE3-9C4F-1D22F72FFDF1}"/>
    <hyperlink ref="Q7" location="'BB vs NB'!A1" display="Selecting Broad Band or Narrow Band" xr:uid="{A7A5E965-406B-4CC9-AA78-FDC338F67B7E}"/>
    <hyperlink ref="D12" location="'BB vs NB'!A1" display="Mode" xr:uid="{EEE3B844-B605-4D83-9BA1-008DDC4728A6}"/>
  </hyperlinks>
  <pageMargins left="0.7" right="0.7" top="0.75" bottom="0.75" header="0.3" footer="0.3"/>
  <pageSetup paperSize="9" orientation="portrait" r:id="rId8"/>
  <drawing r:id="rId9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5" id="{D8796A62-C70C-40F6-9329-49F20A9A6606}">
            <xm:f>AND(T13="Yes",VLOOKUP(V13,Lists!$AD$3:$AE$8,2)&gt;=C13*60)</xm:f>
            <x14:dxf>
              <font>
                <color rgb="FFFF0000"/>
              </font>
            </x14:dxf>
          </x14:cfRule>
          <xm:sqref>C13:C17</xm:sqref>
        </x14:conditionalFormatting>
        <x14:conditionalFormatting xmlns:xm="http://schemas.microsoft.com/office/excel/2006/main">
          <x14:cfRule type="expression" priority="155" id="{280A192B-FD2A-4C86-8AEE-269BD7626C1C}">
            <xm:f>AND(T13="YES",VLOOKUP(V13,Lists!$AD$3:$AE$8,2,FALSE)&gt;=C13*60)</xm:f>
            <x14:dxf>
              <font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m:sqref>V13:V17</xm:sqref>
        </x14:conditionalFormatting>
        <x14:conditionalFormatting xmlns:xm="http://schemas.microsoft.com/office/excel/2006/main">
          <x14:cfRule type="dataBar" id="{5777A6A0-0B99-416A-8252-69E063DA8A99}">
            <x14:dataBar minLength="0" maxLength="100" border="1" gradient="0" negativeBarBorderColorSameAsPositive="0">
              <x14:cfvo type="percent">
                <xm:f>0</xm:f>
              </x14:cfvo>
              <x14:cfvo type="percent">
                <xm:f>100</xm:f>
              </x14:cfvo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AY13:BA17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00000000-0002-0000-0000-000007000000}">
          <x14:formula1>
            <xm:f>Lists!$A$3:$A$12</xm:f>
          </x14:formula1>
          <xm:sqref>N13:N17 R13:R17 J13:J17</xm:sqref>
        </x14:dataValidation>
        <x14:dataValidation type="list" allowBlank="1" showInputMessage="1" showErrorMessage="1" xr:uid="{00000000-0002-0000-0000-000008000000}">
          <x14:formula1>
            <xm:f>Lists!$D$3:$D$66</xm:f>
          </x14:formula1>
          <xm:sqref>M13:M17 Q13:Q17 I13:I17</xm:sqref>
        </x14:dataValidation>
        <x14:dataValidation type="list" allowBlank="1" showInputMessage="1" showErrorMessage="1" xr:uid="{00000000-0002-0000-0000-000009000000}">
          <x14:formula1>
            <xm:f>Lists!$C$3:$C$23</xm:f>
          </x14:formula1>
          <xm:sqref>E13:E17 AH14:AH17</xm:sqref>
        </x14:dataValidation>
        <x14:dataValidation type="list" allowBlank="1" showInputMessage="1" showErrorMessage="1" xr:uid="{43BCB326-099D-4414-B28F-2D12654EBA72}">
          <x14:formula1>
            <xm:f>Lists!$AD$3:$AD$8</xm:f>
          </x14:formula1>
          <xm:sqref>V13:V17</xm:sqref>
        </x14:dataValidation>
        <x14:dataValidation type="list" allowBlank="1" showInputMessage="1" showErrorMessage="1" xr:uid="{00000000-0002-0000-0000-000001000000}">
          <x14:formula1>
            <xm:f>Lists!$E$3:$E$4</xm:f>
          </x14:formula1>
          <xm:sqref>S13:T17 G13:G17 K13:K17 O13:O17</xm:sqref>
        </x14:dataValidation>
        <x14:dataValidation type="list" allowBlank="1" showInputMessage="1" showErrorMessage="1" xr:uid="{00000000-0002-0000-0000-000002000000}">
          <x14:formula1>
            <xm:f>Lists!$J$4:$J$5</xm:f>
          </x14:formula1>
          <xm:sqref>U13:U17 AP13:AP17 AD13:AD17</xm:sqref>
        </x14:dataValidation>
        <x14:dataValidation type="list" allowBlank="1" showInputMessage="1" showErrorMessage="1" xr:uid="{00000000-0002-0000-0000-000003000000}">
          <x14:formula1>
            <xm:f>Lists!$N$4:$N$8</xm:f>
          </x14:formula1>
          <xm:sqref>AF13:AF17 AR13:AR17</xm:sqref>
        </x14:dataValidation>
        <x14:dataValidation type="list" allowBlank="1" showInputMessage="1" showErrorMessage="1" xr:uid="{00000000-0002-0000-0000-000004000000}">
          <x14:formula1>
            <xm:f>Lists!$F$2:$F$13</xm:f>
          </x14:formula1>
          <xm:sqref>C13:C17 AI13:AI17 W13:W17</xm:sqref>
        </x14:dataValidation>
        <x14:dataValidation type="list" allowBlank="1" showInputMessage="1" showErrorMessage="1" xr:uid="{00000000-0002-0000-0000-000005000000}">
          <x14:formula1>
            <xm:f>Lists!$G$2:$G$3</xm:f>
          </x14:formula1>
          <xm:sqref>D13:D17</xm:sqref>
        </x14:dataValidation>
        <x14:dataValidation type="list" allowBlank="1" showInputMessage="1" showErrorMessage="1" xr:uid="{00000000-0002-0000-0000-000006000000}">
          <x14:formula1>
            <xm:f>Lists!$R$4:$R$17</xm:f>
          </x14:formula1>
          <xm:sqref>AE13:AE17 AQ13:AQ17</xm:sqref>
        </x14:dataValidation>
        <x14:dataValidation type="list" allowBlank="1" showInputMessage="1" showErrorMessage="1" xr:uid="{DF04B476-0933-480A-AAA5-2F6A6CA2C53A}">
          <x14:formula1>
            <xm:f>Lists!$U$4:$U$13</xm:f>
          </x14:formula1>
          <xm:sqref>AJ13:AO17 X13:AC17 AG13:AG17 AS13:AS17</xm:sqref>
        </x14:dataValidation>
        <x14:dataValidation type="list" allowBlank="1" showInputMessage="1" showErrorMessage="1" error="Maximum 25 cells for Column3" xr:uid="{22A9778D-69BC-4C33-B4D0-F40573F48191}">
          <x14:formula1>
            <xm:f>Lists!$B$2:$B$16</xm:f>
          </x14:formula1>
          <xm:sqref>P13:P17</xm:sqref>
        </x14:dataValidation>
        <x14:dataValidation type="list" allowBlank="1" showInputMessage="1" showErrorMessage="1" error="Maximum 50 cells for Column2" xr:uid="{8A1BDC4A-F31B-4E01-AF70-7EAF4CCD4901}">
          <x14:formula1>
            <xm:f>Lists!$B$2:$B$21</xm:f>
          </x14:formula1>
          <xm:sqref>L13:L17</xm:sqref>
        </x14:dataValidation>
        <x14:dataValidation type="list" allowBlank="1" showInputMessage="1" showErrorMessage="1" error="Minimum 1, maximum 75 cells for Column1" xr:uid="{59BA9467-0EBC-4F48-BCB5-4F1BB499C4B7}">
          <x14:formula1>
            <xm:f>Lists!$B$3:$B$26</xm:f>
          </x14:formula1>
          <xm:sqref>H13:H17</xm:sqref>
        </x14:dataValidation>
        <x14:dataValidation type="list" allowBlank="1" showInputMessage="1" xr:uid="{52CA1B8B-2CA7-40D0-82F0-8F8358AE33B8}">
          <x14:formula1>
            <xm:f>Lists!$U$24:$U$33</xm:f>
          </x14:formula1>
          <xm:sqref>AV13:AV17</xm:sqref>
        </x14:dataValidation>
        <x14:dataValidation type="list" allowBlank="1" showInputMessage="1" showErrorMessage="1" xr:uid="{24C8754E-74DD-40F3-B939-BAFDB71200C2}">
          <x14:formula1>
            <xm:f>Lists!$H$23:$H$36</xm:f>
          </x14:formula1>
          <xm:sqref>AH13 AT13:AT17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EF178-0FFB-4577-88BF-54B1D5E4077B}">
  <dimension ref="A1:U38"/>
  <sheetViews>
    <sheetView workbookViewId="0">
      <selection activeCell="A39" sqref="A39:XFD1048576"/>
    </sheetView>
  </sheetViews>
  <sheetFormatPr defaultColWidth="0" defaultRowHeight="15" zeroHeight="1"/>
  <cols>
    <col min="1" max="21" width="9.140625" customWidth="1"/>
    <col min="22" max="16384" width="9.140625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</sheetData>
  <sheetProtection algorithmName="SHA-512" hashValue="zOE3BRh6nwdQADH/TSMgt4+kwFlAzMJ40dsFHBIO66gIdgcXF5/FwZ+ThlRIyamQznsyQvbzx0B8cCDA6oT4Vg==" saltValue="Pn/v0MXh5IQ9LCroCqj9aw==" spinCount="100000" sheet="1" objects="1" scenarios="1" selectLockedCells="1" selectUn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A2DBA-D8DF-4F4E-B41B-59F7307913C6}">
  <dimension ref="A1:Y38"/>
  <sheetViews>
    <sheetView zoomScaleNormal="100" workbookViewId="0">
      <selection activeCell="A39" sqref="A39:XFD39"/>
    </sheetView>
  </sheetViews>
  <sheetFormatPr defaultColWidth="0" defaultRowHeight="15" zeroHeight="1"/>
  <cols>
    <col min="1" max="25" width="9.140625" customWidth="1"/>
    <col min="26" max="16384" width="9.140625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</sheetData>
  <sheetProtection algorithmName="SHA-512" hashValue="jIVHHX/YkbtsOzItvydUYfpKwCQQJRtnfY4xc06Eo08+J/B7tX6bPxgKZRAbZXK5roGkkIbkC5Ysip5fcDTdXA==" saltValue="95LBG95kT+yUL3a/I2t9rw==" spinCount="100000" sheet="1" objects="1" scenarios="1" selectLockedCells="1" selectUnlockedCell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E1:FG37"/>
  <sheetViews>
    <sheetView topLeftCell="BK1" zoomScaleNormal="100" workbookViewId="0">
      <selection activeCell="BF6" sqref="BF6:CD7"/>
    </sheetView>
  </sheetViews>
  <sheetFormatPr defaultColWidth="0" defaultRowHeight="15" zeroHeight="1"/>
  <cols>
    <col min="1" max="56" width="9.140625" hidden="1" customWidth="1"/>
    <col min="57" max="57" width="6" customWidth="1"/>
    <col min="58" max="61" width="9.140625" customWidth="1"/>
    <col min="62" max="64" width="9.140625" style="17" customWidth="1"/>
    <col min="65" max="65" width="12" bestFit="1" customWidth="1"/>
    <col min="66" max="66" width="9.140625" customWidth="1"/>
    <col min="67" max="67" width="11.42578125" customWidth="1"/>
    <col min="68" max="70" width="9.140625" style="17" customWidth="1"/>
    <col min="71" max="71" width="8.42578125" bestFit="1" customWidth="1"/>
    <col min="72" max="72" width="9.140625" customWidth="1"/>
    <col min="73" max="73" width="10.7109375" customWidth="1"/>
    <col min="74" max="74" width="9.140625" style="17" customWidth="1"/>
    <col min="75" max="75" width="9.28515625" style="17" customWidth="1"/>
    <col min="76" max="76" width="9.140625" style="17" customWidth="1"/>
    <col min="77" max="78" width="9.140625" customWidth="1"/>
    <col min="79" max="79" width="10.85546875" customWidth="1"/>
    <col min="80" max="109" width="9.140625" style="17" customWidth="1"/>
    <col min="110" max="110" width="22.140625" style="17" bestFit="1" customWidth="1"/>
    <col min="111" max="111" width="4.42578125" customWidth="1"/>
    <col min="112" max="112" width="25.85546875" bestFit="1" customWidth="1"/>
    <col min="113" max="113" width="5.42578125" customWidth="1"/>
    <col min="114" max="163" width="0" hidden="1" customWidth="1"/>
    <col min="164" max="16384" width="9.140625" hidden="1"/>
  </cols>
  <sheetData>
    <row r="1" spans="57:157" ht="13.5" customHeight="1">
      <c r="BE1" s="32"/>
      <c r="BJ1"/>
      <c r="BK1"/>
      <c r="BL1"/>
      <c r="BP1"/>
      <c r="BQ1"/>
      <c r="BR1"/>
      <c r="BV1"/>
      <c r="BW1"/>
      <c r="BX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</row>
    <row r="2" spans="57:157">
      <c r="BE2" s="32"/>
      <c r="BJ2"/>
      <c r="BK2"/>
      <c r="BL2"/>
      <c r="BP2"/>
      <c r="BQ2"/>
      <c r="BR2"/>
      <c r="BV2"/>
      <c r="BW2"/>
      <c r="BX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</row>
    <row r="3" spans="57:157">
      <c r="BE3" s="32"/>
      <c r="BJ3"/>
      <c r="BK3"/>
      <c r="BL3"/>
      <c r="BP3"/>
      <c r="BQ3"/>
      <c r="BR3"/>
      <c r="BV3"/>
      <c r="BW3"/>
      <c r="BX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</row>
    <row r="4" spans="57:157" ht="36.75" customHeight="1">
      <c r="BE4" s="32"/>
      <c r="BJ4"/>
      <c r="BK4"/>
      <c r="BL4"/>
      <c r="BP4"/>
      <c r="BQ4"/>
      <c r="BR4"/>
      <c r="BV4"/>
      <c r="BW4"/>
      <c r="BX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</row>
    <row r="5" spans="57:157">
      <c r="BE5" s="6"/>
      <c r="BF5" s="6"/>
      <c r="BG5" s="6"/>
      <c r="BH5" s="6"/>
      <c r="BI5" s="6"/>
      <c r="BL5" s="6"/>
      <c r="BM5" s="6"/>
      <c r="BN5" s="6"/>
      <c r="BO5" s="6"/>
      <c r="BR5" s="6"/>
      <c r="BS5" s="6"/>
      <c r="BT5" s="6"/>
      <c r="BU5" s="6"/>
      <c r="BV5" s="6"/>
      <c r="BW5" s="6"/>
      <c r="BX5" s="6"/>
      <c r="BY5" s="6"/>
      <c r="BZ5" s="6"/>
      <c r="CA5" s="6"/>
      <c r="DG5" s="6"/>
      <c r="DH5" s="6"/>
      <c r="DI5" s="6"/>
    </row>
    <row r="6" spans="57:157">
      <c r="BE6" s="6"/>
      <c r="BF6" s="242" t="s">
        <v>72</v>
      </c>
      <c r="BG6" s="243"/>
      <c r="BH6" s="243"/>
      <c r="BI6" s="243"/>
      <c r="BJ6" s="243"/>
      <c r="BK6" s="243"/>
      <c r="BL6" s="243"/>
      <c r="BM6" s="243"/>
      <c r="BN6" s="243"/>
      <c r="BO6" s="243"/>
      <c r="BP6" s="243"/>
      <c r="BQ6" s="243"/>
      <c r="BR6" s="243"/>
      <c r="BS6" s="243"/>
      <c r="BT6" s="243"/>
      <c r="BU6" s="243"/>
      <c r="BV6" s="243"/>
      <c r="BW6" s="243"/>
      <c r="BX6" s="243"/>
      <c r="BY6" s="243"/>
      <c r="BZ6" s="243"/>
      <c r="CA6" s="243"/>
      <c r="CB6" s="243"/>
      <c r="CC6" s="243"/>
      <c r="CD6" s="243"/>
      <c r="DG6" s="6"/>
      <c r="DH6" s="6"/>
      <c r="DI6" s="6"/>
    </row>
    <row r="7" spans="57:157">
      <c r="BE7" s="6"/>
      <c r="BF7" s="243"/>
      <c r="BG7" s="243"/>
      <c r="BH7" s="243"/>
      <c r="BI7" s="243"/>
      <c r="BJ7" s="243"/>
      <c r="BK7" s="243"/>
      <c r="BL7" s="243"/>
      <c r="BM7" s="243"/>
      <c r="BN7" s="243"/>
      <c r="BO7" s="243"/>
      <c r="BP7" s="243"/>
      <c r="BQ7" s="243"/>
      <c r="BR7" s="243"/>
      <c r="BS7" s="243"/>
      <c r="BT7" s="243"/>
      <c r="BU7" s="243"/>
      <c r="BV7" s="243"/>
      <c r="BW7" s="243"/>
      <c r="BX7" s="243"/>
      <c r="BY7" s="243"/>
      <c r="BZ7" s="243"/>
      <c r="CA7" s="243"/>
      <c r="CB7" s="243"/>
      <c r="CC7" s="243"/>
      <c r="CD7" s="243"/>
      <c r="DG7" s="6"/>
      <c r="DH7" s="6"/>
      <c r="DI7" s="6"/>
    </row>
    <row r="8" spans="57:157" ht="23.25">
      <c r="BE8" s="6"/>
      <c r="BF8" s="244" t="s">
        <v>73</v>
      </c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18"/>
      <c r="DG8" s="6"/>
      <c r="DH8" s="6"/>
      <c r="DI8" s="6"/>
    </row>
    <row r="9" spans="57:157" ht="23.25">
      <c r="BE9" s="6"/>
      <c r="BF9" s="7"/>
      <c r="BG9" s="7"/>
      <c r="BH9" s="7"/>
      <c r="BI9" s="7"/>
      <c r="BJ9" s="18"/>
      <c r="BK9" s="18"/>
      <c r="BL9" s="7"/>
      <c r="BM9" s="7"/>
      <c r="BN9" s="7"/>
      <c r="BO9" s="7"/>
      <c r="BP9" s="18"/>
      <c r="BQ9" s="18"/>
      <c r="BR9" s="7"/>
      <c r="BS9" s="7"/>
      <c r="BT9" s="7"/>
      <c r="BU9" s="7"/>
      <c r="BV9" s="7"/>
      <c r="BW9" s="7"/>
      <c r="BX9" s="7"/>
      <c r="BY9" s="7"/>
      <c r="BZ9" s="7"/>
      <c r="CA9" s="7"/>
      <c r="CB9" s="18"/>
      <c r="CC9" s="18"/>
      <c r="CD9" s="18"/>
      <c r="DG9" s="6"/>
      <c r="DH9" s="6"/>
      <c r="DI9" s="6"/>
    </row>
    <row r="10" spans="57:157" ht="15.75">
      <c r="BE10" s="6"/>
      <c r="BF10" s="231" t="s">
        <v>74</v>
      </c>
      <c r="BG10" s="232"/>
      <c r="BH10" s="232"/>
      <c r="BI10" s="232"/>
      <c r="BJ10" s="232"/>
      <c r="BK10" s="232"/>
      <c r="BL10" s="232"/>
      <c r="BM10" s="232"/>
      <c r="BN10" s="232"/>
      <c r="BO10" s="232"/>
      <c r="BP10" s="232"/>
      <c r="BQ10" s="232"/>
      <c r="BR10" s="232"/>
      <c r="BS10" s="232"/>
      <c r="BT10" s="232"/>
      <c r="BU10" s="232"/>
      <c r="BV10" s="232"/>
      <c r="BW10" s="232"/>
      <c r="BX10" s="232"/>
      <c r="BY10" s="232"/>
      <c r="BZ10" s="232"/>
      <c r="CA10" s="233"/>
      <c r="CB10" s="23"/>
      <c r="CC10" s="24"/>
      <c r="CD10" s="18"/>
      <c r="DG10" s="6"/>
      <c r="DH10" s="9" t="s">
        <v>75</v>
      </c>
      <c r="DI10" s="6"/>
    </row>
    <row r="11" spans="57:157">
      <c r="BE11" s="6"/>
      <c r="BF11" s="227" t="s">
        <v>18</v>
      </c>
      <c r="BG11" s="228"/>
      <c r="BH11" s="228"/>
      <c r="BI11" s="228"/>
      <c r="BJ11" s="229" t="s">
        <v>76</v>
      </c>
      <c r="BK11" s="230"/>
      <c r="BL11" s="227" t="s">
        <v>19</v>
      </c>
      <c r="BM11" s="234"/>
      <c r="BN11" s="234"/>
      <c r="BO11" s="235"/>
      <c r="BP11" s="22"/>
      <c r="BQ11" s="22"/>
      <c r="BR11" s="227" t="s">
        <v>20</v>
      </c>
      <c r="BS11" s="246"/>
      <c r="BT11" s="246"/>
      <c r="BU11" s="247"/>
      <c r="BV11" s="23"/>
      <c r="BW11" s="23"/>
      <c r="BX11" s="228" t="s">
        <v>21</v>
      </c>
      <c r="BY11" s="234"/>
      <c r="BZ11" s="234"/>
      <c r="CA11" s="235"/>
      <c r="CB11" s="23"/>
      <c r="CC11" s="24"/>
      <c r="DG11" s="6"/>
      <c r="DH11" s="10" t="s">
        <v>77</v>
      </c>
      <c r="DI11" s="6"/>
    </row>
    <row r="12" spans="57:157" s="4" customFormat="1" ht="51.75" customHeight="1">
      <c r="BE12" s="15"/>
      <c r="BF12" s="16" t="s">
        <v>35</v>
      </c>
      <c r="BG12" s="16" t="s">
        <v>37</v>
      </c>
      <c r="BH12" s="16" t="s">
        <v>38</v>
      </c>
      <c r="BI12" s="16" t="s">
        <v>39</v>
      </c>
      <c r="BJ12" s="19" t="s">
        <v>78</v>
      </c>
      <c r="BK12" s="19" t="s">
        <v>79</v>
      </c>
      <c r="BL12" s="16" t="s">
        <v>40</v>
      </c>
      <c r="BM12" s="16" t="s">
        <v>41</v>
      </c>
      <c r="BN12" s="16" t="s">
        <v>42</v>
      </c>
      <c r="BO12" s="16" t="s">
        <v>43</v>
      </c>
      <c r="BP12" s="19" t="s">
        <v>78</v>
      </c>
      <c r="BQ12" s="19" t="s">
        <v>79</v>
      </c>
      <c r="BR12" s="16" t="s">
        <v>40</v>
      </c>
      <c r="BS12" s="16" t="s">
        <v>41</v>
      </c>
      <c r="BT12" s="16" t="s">
        <v>42</v>
      </c>
      <c r="BU12" s="16" t="s">
        <v>43</v>
      </c>
      <c r="BV12" s="19" t="s">
        <v>78</v>
      </c>
      <c r="BW12" s="19" t="s">
        <v>79</v>
      </c>
      <c r="BX12" s="16" t="s">
        <v>40</v>
      </c>
      <c r="BY12" s="16" t="s">
        <v>41</v>
      </c>
      <c r="BZ12" s="16" t="s">
        <v>42</v>
      </c>
      <c r="CA12" s="16" t="s">
        <v>43</v>
      </c>
      <c r="CB12" s="19" t="s">
        <v>78</v>
      </c>
      <c r="CC12" s="19" t="s">
        <v>79</v>
      </c>
      <c r="CD12" s="19" t="s">
        <v>80</v>
      </c>
      <c r="CE12" s="19" t="s">
        <v>81</v>
      </c>
      <c r="CF12" s="19" t="s">
        <v>82</v>
      </c>
      <c r="CG12" s="19" t="s">
        <v>83</v>
      </c>
      <c r="CH12" s="19" t="s">
        <v>84</v>
      </c>
      <c r="CI12" s="19" t="s">
        <v>85</v>
      </c>
      <c r="CJ12" s="19" t="s">
        <v>86</v>
      </c>
      <c r="CK12" s="19" t="s">
        <v>87</v>
      </c>
      <c r="CL12" s="19" t="s">
        <v>88</v>
      </c>
      <c r="CM12" s="19" t="s">
        <v>89</v>
      </c>
      <c r="CN12" s="19" t="s">
        <v>90</v>
      </c>
      <c r="CO12" s="19" t="s">
        <v>91</v>
      </c>
      <c r="CP12" s="19" t="s">
        <v>92</v>
      </c>
      <c r="CQ12" s="19" t="s">
        <v>93</v>
      </c>
      <c r="CR12" s="25" t="s">
        <v>94</v>
      </c>
      <c r="CS12" s="17" t="s">
        <v>95</v>
      </c>
      <c r="CT12" s="17" t="s">
        <v>96</v>
      </c>
      <c r="CU12" s="17" t="s">
        <v>97</v>
      </c>
      <c r="CV12" s="17" t="s">
        <v>98</v>
      </c>
      <c r="CW12" s="17" t="s">
        <v>99</v>
      </c>
      <c r="CX12" s="17" t="s">
        <v>100</v>
      </c>
      <c r="CY12" s="17" t="s">
        <v>101</v>
      </c>
      <c r="CZ12" s="17" t="s">
        <v>102</v>
      </c>
      <c r="DA12" s="17" t="s">
        <v>103</v>
      </c>
      <c r="DB12" s="17" t="s">
        <v>104</v>
      </c>
      <c r="DC12" s="17" t="s">
        <v>105</v>
      </c>
      <c r="DD12" s="17" t="s">
        <v>106</v>
      </c>
      <c r="DE12" s="17" t="s">
        <v>107</v>
      </c>
      <c r="DF12" s="17" t="s">
        <v>108</v>
      </c>
      <c r="DG12" s="14"/>
      <c r="DH12" s="11" t="s">
        <v>55</v>
      </c>
      <c r="DI12" s="14"/>
    </row>
    <row r="13" spans="57:157">
      <c r="BE13" s="15"/>
      <c r="BF13" s="28">
        <f>'Power Calculator'!C13</f>
        <v>0</v>
      </c>
      <c r="BG13" s="28">
        <f>'Power Calculator'!E13</f>
        <v>10</v>
      </c>
      <c r="BH13" s="28">
        <f>'Power Calculator'!F13</f>
        <v>50</v>
      </c>
      <c r="BI13" s="28" t="str">
        <f>'Power Calculator'!G13</f>
        <v>No</v>
      </c>
      <c r="BJ13" s="63">
        <f>IF(BI13="Yes",BH13-2,0)</f>
        <v>0</v>
      </c>
      <c r="BK13" s="63">
        <f>IF(BI13="Yes",BH13,0)</f>
        <v>0</v>
      </c>
      <c r="BL13" s="28">
        <f>'Power Calculator'!H13</f>
        <v>1</v>
      </c>
      <c r="BM13" s="28">
        <f>'Power Calculator'!I13</f>
        <v>1</v>
      </c>
      <c r="BN13" s="28">
        <f>'Power Calculator'!J13</f>
        <v>2</v>
      </c>
      <c r="BO13" s="28" t="str">
        <f>'Power Calculator'!K13</f>
        <v>No</v>
      </c>
      <c r="BP13" s="63">
        <f>IF(BO13="Yes",IF((BH13-BM13-BN13*BL13)&gt;2,BH13-BM13-BN13*BL13,2),BM13)</f>
        <v>1</v>
      </c>
      <c r="BQ13" s="63">
        <f>IF(BO13="Yes",BH13,BM13+BN13*BL13)</f>
        <v>3</v>
      </c>
      <c r="BR13" s="28">
        <f>'Power Calculator'!L13</f>
        <v>0</v>
      </c>
      <c r="BS13" s="28">
        <f>'Power Calculator'!M13</f>
        <v>1</v>
      </c>
      <c r="BT13" s="28">
        <f>'Power Calculator'!N13</f>
        <v>2</v>
      </c>
      <c r="BU13" s="28" t="str">
        <f>'Power Calculator'!O13</f>
        <v>No</v>
      </c>
      <c r="BV13" s="63">
        <f>IF(AND(BU13="Yes",BR13&gt;0),(BH13-BS13-BT13*BR13),IF(BR13&gt;0,BS13,0))</f>
        <v>0</v>
      </c>
      <c r="BW13" s="63">
        <f>IF(AND(BU13="Yes",BR13&gt;0),BH13-BS13,IF(BR13&gt;0,BS13+BT13*BR13,0))</f>
        <v>0</v>
      </c>
      <c r="BX13" s="28">
        <f>'Power Calculator'!P13</f>
        <v>0</v>
      </c>
      <c r="BY13" s="28">
        <f>'Power Calculator'!Q13</f>
        <v>2</v>
      </c>
      <c r="BZ13" s="28">
        <f>'Power Calculator'!R13</f>
        <v>3</v>
      </c>
      <c r="CA13" s="28" t="str">
        <f>'Power Calculator'!V13</f>
        <v>25 min</v>
      </c>
      <c r="CB13" s="25">
        <f>IF(AND(CA13="Yes",BX13&gt;0),(BH13-BY13-BZ13*BX13),IF(BX13&gt;0,BY13,0))</f>
        <v>0</v>
      </c>
      <c r="CC13" s="25">
        <f>IF(AND(CA13="Yes",BX13&gt;0),BH13-BY13,IF(BX13&gt;0,BY13+BZ13*BX13,0))</f>
        <v>0</v>
      </c>
      <c r="CD13" s="25">
        <f>MAX(BQ13,BW13,CC13,BK13)-IF(MIN(BP13,IF(BR13&gt;0,BV13,1000),IF(BX13&gt;0,CB13,1000))&lt;1,1,MIN(BP13,IF(BR13&gt;0,BV13,1000),IF(BX13&gt;0,CB13,1000)))</f>
        <v>2</v>
      </c>
      <c r="CE13" s="25">
        <f>IF(BN13=0.5,BL13,0)+IF(BT13=0.5,BR13,0)+IF(BZ13=0.5,BX13,0)</f>
        <v>0</v>
      </c>
      <c r="CF13" s="25">
        <f>IF(BN13=1,BL13,0)+IF(BT13=1,BR13,0)+IF(BZ13=1,BX13,0)</f>
        <v>0</v>
      </c>
      <c r="CG13" s="25">
        <f>IF(BN13=1.5,BL13,0)+IF(BT13=1.5,BR13,0)+IF(BZ13=1.5,BX13,0)</f>
        <v>0</v>
      </c>
      <c r="CH13" s="25">
        <f>IF(BN13=2,BL13,0)+IF(BT13=2,BR13,0)+IF(BZ13=2,BX13,0)</f>
        <v>1</v>
      </c>
      <c r="CI13" s="25">
        <f>IF(BN13=2.5,BL13,0)+IF(BT13=2.5,BR13,0)+IF(BZ13=2.5,BX13,0)</f>
        <v>0</v>
      </c>
      <c r="CJ13" s="25">
        <f>IF(BN13=3,BL13,0)+IF(BT13=3,BR13,0)+IF(BZ13=3,BX13,0)</f>
        <v>0</v>
      </c>
      <c r="CK13" s="25">
        <f>IF(BN13=3.5,BL13,0)+IF(BT13=3.5,BR13,0)+IF(BZ13=3.5,BX13,0)</f>
        <v>0</v>
      </c>
      <c r="CL13" s="25">
        <f>IF(BN13=4,BL13,0)+IF(BT13=4,BR13,0)+IF(BZ13=4,BX13,0)</f>
        <v>0</v>
      </c>
      <c r="CM13" s="25">
        <f>IF(BN13=4.5,BL13,0)+IF(BT13=4.5,BR13,0)+IF(BZ13=4.5,BX13,0)</f>
        <v>0</v>
      </c>
      <c r="CN13" s="25">
        <f>IF(BN13=5,BL13,0)+IF(BT13=5,BR13,0)+IF(BZ13=5,BX13,0)</f>
        <v>0</v>
      </c>
      <c r="CO13" s="25">
        <f>MIN(IF(CF13&gt;0,1,5),IF(CH13&gt;0,2,5),IF(CJ13&gt;0,3,5),IF(CL13&gt;0,4,5))</f>
        <v>2</v>
      </c>
      <c r="CP13" s="25">
        <f>(BI13="Yes")+1+IF(BR13&gt;0,1,0)+IF(BX13&gt;0,1,0)</f>
        <v>1</v>
      </c>
      <c r="CQ13" s="25" t="e">
        <f t="shared" ref="CQ13:CQ26" si="0">Amb+BG13*(Coef3+Coef4*CO13)/BF13+Coef5*CD13*BG13/BF13+Cell05*CE13*BG13/BF13+Cell1*CF13*BG13/BF13+Cell15*CG13*BG13/BF13+Cell2*CH13*BG13/BF13+Cell25*CI13*BG13/BF13+Cell3*CJ13*BG13/BF13+Cell35*CK13*BG13/BF13+Cell4*CL13*BG13/BF13+Cell45*CM13*BG13/BF13+Cell5*CN13*BG13/BF13</f>
        <v>#DIV/0!</v>
      </c>
      <c r="CR13" s="17">
        <v>6.9999999999999999E-4</v>
      </c>
      <c r="CS13" s="17">
        <f>0.0229351940065681/100</f>
        <v>2.2935194006568099E-4</v>
      </c>
      <c r="CT13" s="17">
        <f>0.0099317223316913/100</f>
        <v>9.9317223316913001E-5</v>
      </c>
      <c r="CU13" s="17">
        <f>0.00185954444444445/(2*100)</f>
        <v>9.2977222222222507E-6</v>
      </c>
      <c r="CV13" s="17">
        <f>0.00101607940613027/100</f>
        <v>1.0160794061302701E-5</v>
      </c>
      <c r="CW13" s="17">
        <f>0.00114729674329502/100</f>
        <v>1.1472967432950201E-5</v>
      </c>
      <c r="CX13" s="17">
        <f t="shared" ref="CX13:CX26" si="1">AVERAGE(Cell1,Cell2)</f>
        <v>1.2870485632183901E-5</v>
      </c>
      <c r="CY13" s="17">
        <f>0.00142680038314176/100</f>
        <v>1.4268003831417601E-5</v>
      </c>
      <c r="CZ13" s="17">
        <f t="shared" ref="CZ13:CZ26" si="2">AVERAGE(Cell2,Cell3)</f>
        <v>1.5645522030651349E-5</v>
      </c>
      <c r="DA13" s="17">
        <f>0.00170230402298851/100</f>
        <v>1.70230402298851E-5</v>
      </c>
      <c r="DB13" s="17">
        <f t="shared" ref="DB13:DB26" si="3">AVERAGE(Cell3,Cell4)</f>
        <v>2.4003992337164748E-5</v>
      </c>
      <c r="DC13" s="17">
        <f>0.00309849444444444/100</f>
        <v>3.0984944444444397E-5</v>
      </c>
      <c r="DD13" s="17">
        <f t="shared" ref="DD13:DD26" si="4">AVERAGE(Cell4,Cell5)</f>
        <v>3.1063166666666644E-5</v>
      </c>
      <c r="DE13" s="17">
        <f>0.00311413888888889/100</f>
        <v>3.1141388888888898E-5</v>
      </c>
      <c r="DF13" s="17">
        <v>0.5</v>
      </c>
      <c r="DG13" s="6"/>
      <c r="DH13" s="12">
        <f>IF(BF13&gt;0,CQ13*1200+DF13+BB!DX13,0.5)</f>
        <v>0.5</v>
      </c>
      <c r="DI13" s="6"/>
    </row>
    <row r="14" spans="57:157">
      <c r="BE14" s="15"/>
      <c r="BF14" s="28">
        <f>'Power Calculator'!C14</f>
        <v>5</v>
      </c>
      <c r="BG14" s="28">
        <f>'Power Calculator'!E14</f>
        <v>70</v>
      </c>
      <c r="BH14" s="28">
        <f>'Power Calculator'!F14</f>
        <v>50</v>
      </c>
      <c r="BI14" s="28" t="str">
        <f>'Power Calculator'!G14</f>
        <v>No</v>
      </c>
      <c r="BJ14" s="63">
        <f t="shared" ref="BJ14:BJ26" si="5">IF(BI14="Yes",BH14-2,0)</f>
        <v>0</v>
      </c>
      <c r="BK14" s="63">
        <f t="shared" ref="BK14:BK26" si="6">IF(BI14="Yes",BH14,0)</f>
        <v>0</v>
      </c>
      <c r="BL14" s="28">
        <f>'Power Calculator'!H14</f>
        <v>20</v>
      </c>
      <c r="BM14" s="28">
        <f>'Power Calculator'!I14</f>
        <v>1</v>
      </c>
      <c r="BN14" s="28">
        <f>'Power Calculator'!J14</f>
        <v>2</v>
      </c>
      <c r="BO14" s="28" t="str">
        <f>'Power Calculator'!K14</f>
        <v>No</v>
      </c>
      <c r="BP14" s="63">
        <f>IF(BO14="Yes",IF((BH14-BM14-BN14*BL14)&gt;2,BH14-BM14-BN14*BL14,2),BM14)</f>
        <v>1</v>
      </c>
      <c r="BQ14" s="63">
        <f>IF(BO14="Yes",BH14,BM14+BN14*BL14)</f>
        <v>41</v>
      </c>
      <c r="BR14" s="28">
        <f>'Power Calculator'!L14</f>
        <v>0</v>
      </c>
      <c r="BS14" s="28">
        <f>'Power Calculator'!M14</f>
        <v>1</v>
      </c>
      <c r="BT14" s="28">
        <f>'Power Calculator'!N14</f>
        <v>2</v>
      </c>
      <c r="BU14" s="28" t="str">
        <f>'Power Calculator'!O14</f>
        <v>No</v>
      </c>
      <c r="BV14" s="63">
        <f t="shared" ref="BV14:BV16" si="7">IF(AND(BU14="Yes",BR14&gt;0),(BH14-BS14-BT14*BR14),IF(BR14&gt;0,BS14,0))</f>
        <v>0</v>
      </c>
      <c r="BW14" s="63">
        <f t="shared" ref="BW14:BW17" si="8">IF(AND(BU14="Yes",BR14&gt;0),BH14-BS14,IF(BR14&gt;0,BS14+BT14*BR14,0))</f>
        <v>0</v>
      </c>
      <c r="BX14" s="28">
        <f>'Power Calculator'!P14</f>
        <v>0</v>
      </c>
      <c r="BY14" s="28">
        <f>'Power Calculator'!Q14</f>
        <v>2</v>
      </c>
      <c r="BZ14" s="28">
        <f>'Power Calculator'!R14</f>
        <v>3</v>
      </c>
      <c r="CA14" s="28" t="str">
        <f>'Power Calculator'!V14</f>
        <v>25 min</v>
      </c>
      <c r="CB14" s="25">
        <f t="shared" ref="CB14:CB17" si="9">IF(AND(CA14="Yes",BX14&gt;0),(BH14-BY14-BZ14*BX14),IF(BX14&gt;0,BY14,0))</f>
        <v>0</v>
      </c>
      <c r="CC14" s="25">
        <f t="shared" ref="CC14:CC17" si="10">IF(AND(CA14="Yes",BX14&gt;0),BH14-BY14,IF(BX14&gt;0,BY14+BZ14*BX14,0))</f>
        <v>0</v>
      </c>
      <c r="CD14" s="25">
        <f>MAX(BQ14,BW14,CC14,BK14)-IF(MIN(BP14,IF(BR14&gt;0,BV14,1000),IF(BX14&gt;0,CB14,1000))&lt;1,1,MIN(BP14,IF(BR14&gt;0,BV14,1000),IF(BX14&gt;0,CB14,1000)))</f>
        <v>40</v>
      </c>
      <c r="CE14" s="25">
        <f>IF(BN14=0.5,BL14,0)+IF(BT14=0.5,BR14,0)+IF(BZ14=0.5,BX14,0)</f>
        <v>0</v>
      </c>
      <c r="CF14" s="25">
        <f>IF(BN14=1,BL14,0)+IF(BT14=1,BR14,0)+IF(BZ14=1,BX14,0)</f>
        <v>0</v>
      </c>
      <c r="CG14" s="25">
        <f>IF(BN14=1.5,BL14,0)+IF(BT14=1.5,BR14,0)+IF(BZ14=1.5,BX14,0)</f>
        <v>0</v>
      </c>
      <c r="CH14" s="25">
        <f>IF(BN14=2,BL14,0)+IF(BT14=2,BR14,0)+IF(BZ14=2,BX14,0)</f>
        <v>20</v>
      </c>
      <c r="CI14" s="25">
        <f>IF(BN14=2.5,BL14,0)+IF(BT14=2.5,BR14,0)+IF(BZ14=2.5,BX14,0)</f>
        <v>0</v>
      </c>
      <c r="CJ14" s="25">
        <f>IF(BN14=3,BL14,0)+IF(BT14=3,BR14,0)+IF(BZ14=3,BX14,0)</f>
        <v>0</v>
      </c>
      <c r="CK14" s="25">
        <f>IF(BN14=3.5,BL14,0)+IF(BT14=3.5,BR14,0)+IF(BZ14=3.5,BX14,0)</f>
        <v>0</v>
      </c>
      <c r="CL14" s="25">
        <f>IF(BN14=4,BL14,0)+IF(BT14=4,BR14,0)+IF(BZ14=4,BX14,0)</f>
        <v>0</v>
      </c>
      <c r="CM14" s="25">
        <f>IF(BN14=4.5,BL14,0)+IF(BT14=4.5,BR14,0)+IF(BZ14=4.5,BX14,0)</f>
        <v>0</v>
      </c>
      <c r="CN14" s="25">
        <f>IF(BN14=5,BL14,0)+IF(BT14=5,BR14,0)+IF(BZ14=5,BX14,0)</f>
        <v>0</v>
      </c>
      <c r="CO14" s="25">
        <f t="shared" ref="CO14:CO26" si="11">MIN(IF(CF14&gt;0,1,5),IF(CH14&gt;0,2,5),IF(CJ14&gt;0,3,5),IF(CL14&gt;0,4,5))</f>
        <v>2</v>
      </c>
      <c r="CP14" s="25">
        <f>(BI14="Yes")+1+IF(BR14&gt;0,1,0)+IF(BX14&gt;0,1,0)</f>
        <v>1</v>
      </c>
      <c r="CQ14" s="25">
        <f t="shared" si="0"/>
        <v>1.5893574931034486E-2</v>
      </c>
      <c r="CR14" s="17">
        <v>1.0006999999999999</v>
      </c>
      <c r="CS14" s="17">
        <f t="shared" ref="CS14:CS26" si="12">0.0229351940065681/100</f>
        <v>2.2935194006568099E-4</v>
      </c>
      <c r="CT14" s="17">
        <f t="shared" ref="CT14:CT26" si="13">0.0099317223316913/100</f>
        <v>9.9317223316913001E-5</v>
      </c>
      <c r="CU14" s="17">
        <f t="shared" ref="CU14:CU26" si="14">0.00185954444444445/(2*100)</f>
        <v>9.2977222222222507E-6</v>
      </c>
      <c r="CV14" s="17">
        <f t="shared" ref="CV14:CV26" si="15">0.00101607940613027/100</f>
        <v>1.0160794061302701E-5</v>
      </c>
      <c r="CW14" s="17">
        <f t="shared" ref="CW14:CW26" si="16">0.00114729674329502/100</f>
        <v>1.1472967432950201E-5</v>
      </c>
      <c r="CX14" s="17">
        <f t="shared" si="1"/>
        <v>1.2870485632183901E-5</v>
      </c>
      <c r="CY14" s="17">
        <f t="shared" ref="CY14:CY26" si="17">0.00142680038314176/100</f>
        <v>1.4268003831417601E-5</v>
      </c>
      <c r="CZ14" s="17">
        <f t="shared" si="2"/>
        <v>1.5645522030651349E-5</v>
      </c>
      <c r="DA14" s="17">
        <f t="shared" ref="DA14:DA26" si="18">0.00170230402298851/100</f>
        <v>1.70230402298851E-5</v>
      </c>
      <c r="DB14" s="17">
        <f t="shared" si="3"/>
        <v>2.4003992337164748E-5</v>
      </c>
      <c r="DC14" s="17">
        <f t="shared" ref="DC14:DC26" si="19">0.00309849444444444/100</f>
        <v>3.0984944444444397E-5</v>
      </c>
      <c r="DD14" s="17">
        <f t="shared" si="4"/>
        <v>3.1063166666666644E-5</v>
      </c>
      <c r="DE14" s="17">
        <f t="shared" ref="DE14:DE26" si="20">0.00311413888888889/100</f>
        <v>3.1141388888888898E-5</v>
      </c>
      <c r="DF14" s="17">
        <v>0.5</v>
      </c>
      <c r="DG14" s="6"/>
      <c r="DH14" s="12">
        <f>IF(BF14&gt;0,CQ14*1200+DF14+BB!DX14,0.5)</f>
        <v>19.572289917241385</v>
      </c>
      <c r="DI14" s="6"/>
    </row>
    <row r="15" spans="57:157">
      <c r="BE15" s="15"/>
      <c r="BF15" s="28">
        <f>'Power Calculator'!C15</f>
        <v>0</v>
      </c>
      <c r="BG15" s="28">
        <f>'Power Calculator'!E15</f>
        <v>50</v>
      </c>
      <c r="BH15" s="28">
        <f>'Power Calculator'!F15</f>
        <v>40</v>
      </c>
      <c r="BI15" s="28" t="str">
        <f>'Power Calculator'!G15</f>
        <v>Yes</v>
      </c>
      <c r="BJ15" s="63">
        <f t="shared" si="5"/>
        <v>38</v>
      </c>
      <c r="BK15" s="63">
        <f t="shared" si="6"/>
        <v>40</v>
      </c>
      <c r="BL15" s="28">
        <f>'Power Calculator'!H15</f>
        <v>40</v>
      </c>
      <c r="BM15" s="28">
        <f>'Power Calculator'!I15</f>
        <v>2</v>
      </c>
      <c r="BN15" s="28">
        <f>'Power Calculator'!J15</f>
        <v>1</v>
      </c>
      <c r="BO15" s="28" t="str">
        <f>'Power Calculator'!K15</f>
        <v>No</v>
      </c>
      <c r="BP15" s="63">
        <f>IF(BO15="Yes",IF((BH15-BM15-BN15*BL15)&gt;2,BH15-BM15-BN15*BL15,2),BM15)</f>
        <v>2</v>
      </c>
      <c r="BQ15" s="63">
        <f>IF(BO15="Yes",BH15,BM15+BN15*BL15)</f>
        <v>42</v>
      </c>
      <c r="BR15" s="28">
        <f>'Power Calculator'!L15</f>
        <v>0</v>
      </c>
      <c r="BS15" s="28">
        <f>'Power Calculator'!M15</f>
        <v>30</v>
      </c>
      <c r="BT15" s="28">
        <v>1</v>
      </c>
      <c r="BU15" s="28" t="str">
        <f>'Power Calculator'!O15</f>
        <v>Yes</v>
      </c>
      <c r="BV15" s="63">
        <f t="shared" si="7"/>
        <v>0</v>
      </c>
      <c r="BW15" s="63">
        <f t="shared" si="8"/>
        <v>0</v>
      </c>
      <c r="BX15" s="28">
        <f>'Power Calculator'!P15</f>
        <v>0</v>
      </c>
      <c r="BY15" s="28">
        <f>'Power Calculator'!Q15</f>
        <v>2</v>
      </c>
      <c r="BZ15" s="28">
        <f>'Power Calculator'!R15</f>
        <v>2</v>
      </c>
      <c r="CA15" s="28" t="str">
        <f>'Power Calculator'!V15</f>
        <v>25 min</v>
      </c>
      <c r="CB15" s="25">
        <f t="shared" si="9"/>
        <v>0</v>
      </c>
      <c r="CC15" s="25">
        <f t="shared" si="10"/>
        <v>0</v>
      </c>
      <c r="CD15" s="25">
        <f>MAX(BQ15,BW15,CC15,BK15)-IF(MIN(BP15,IF(BR15&gt;0,BV15,1000),IF(BX15&gt;0,CB15,1000))&lt;1,1,MIN(BP15,IF(BR15&gt;0,BV15,1000),IF(BX15&gt;0,CB15,1000)))</f>
        <v>40</v>
      </c>
      <c r="CE15" s="25">
        <f>IF(BN15=0.5,BL15,0)+IF(BT15=0.5,BR15,0)+IF(BZ15=0.5,BX15,0)</f>
        <v>0</v>
      </c>
      <c r="CF15" s="25">
        <f>IF(BN15=1,BL15,0)+IF(BT15=1,BR15,0)+IF(BZ15=1,BX15,0)</f>
        <v>40</v>
      </c>
      <c r="CG15" s="25">
        <f>IF(BN15=1.5,BL15,0)+IF(BT15=1.5,BR15,0)+IF(BZ15=1.5,BX15,0)</f>
        <v>0</v>
      </c>
      <c r="CH15" s="25">
        <f>IF(BN15=2,BL15,0)+IF(BT15=2,BR15,0)+IF(BZ15=2,BX15,0)</f>
        <v>0</v>
      </c>
      <c r="CI15" s="25">
        <f>IF(BN15=2.5,BL15,0)+IF(BT15=2.5,BR15,0)+IF(BZ15=2.5,BX15,0)</f>
        <v>0</v>
      </c>
      <c r="CJ15" s="25">
        <f>IF(BN15=3,BL15,0)+IF(BT15=3,BR15,0)+IF(BZ15=3,BX15,0)</f>
        <v>0</v>
      </c>
      <c r="CK15" s="25">
        <f>IF(BN15=3.5,BL15,0)+IF(BT15=3.5,BR15,0)+IF(BZ15=3.5,BX15,0)</f>
        <v>0</v>
      </c>
      <c r="CL15" s="25">
        <f>IF(BN15=4,BL15,0)+IF(BT15=4,BR15,0)+IF(BZ15=4,BX15,0)</f>
        <v>0</v>
      </c>
      <c r="CM15" s="25">
        <f>IF(BN15=4.5,BL15,0)+IF(BT15=4.5,BR15,0)+IF(BZ15=4.5,BX15,0)</f>
        <v>0</v>
      </c>
      <c r="CN15" s="25">
        <f>IF(BN15=5,BL15,0)+IF(BT15=5,BR15,0)+IF(BZ15=5,BX15,0)</f>
        <v>0</v>
      </c>
      <c r="CO15" s="25">
        <f t="shared" si="11"/>
        <v>1</v>
      </c>
      <c r="CP15" s="25">
        <f>(BI15="Yes")+1+IF(BR15&gt;0,1,0)+IF(BX15&gt;0,1,0)</f>
        <v>2</v>
      </c>
      <c r="CQ15" s="25" t="e">
        <f t="shared" si="0"/>
        <v>#DIV/0!</v>
      </c>
      <c r="CR15" s="17">
        <v>2.0007000000000001</v>
      </c>
      <c r="CS15" s="17">
        <f t="shared" si="12"/>
        <v>2.2935194006568099E-4</v>
      </c>
      <c r="CT15" s="17">
        <f t="shared" si="13"/>
        <v>9.9317223316913001E-5</v>
      </c>
      <c r="CU15" s="17">
        <f t="shared" si="14"/>
        <v>9.2977222222222507E-6</v>
      </c>
      <c r="CV15" s="17">
        <f t="shared" si="15"/>
        <v>1.0160794061302701E-5</v>
      </c>
      <c r="CW15" s="17">
        <f t="shared" si="16"/>
        <v>1.1472967432950201E-5</v>
      </c>
      <c r="CX15" s="17">
        <f t="shared" si="1"/>
        <v>1.2870485632183901E-5</v>
      </c>
      <c r="CY15" s="17">
        <f t="shared" si="17"/>
        <v>1.4268003831417601E-5</v>
      </c>
      <c r="CZ15" s="17">
        <f t="shared" si="2"/>
        <v>1.5645522030651349E-5</v>
      </c>
      <c r="DA15" s="17">
        <f t="shared" si="18"/>
        <v>1.70230402298851E-5</v>
      </c>
      <c r="DB15" s="17">
        <f t="shared" si="3"/>
        <v>2.4003992337164748E-5</v>
      </c>
      <c r="DC15" s="17">
        <f t="shared" si="19"/>
        <v>3.0984944444444397E-5</v>
      </c>
      <c r="DD15" s="17">
        <f t="shared" si="4"/>
        <v>3.1063166666666644E-5</v>
      </c>
      <c r="DE15" s="17">
        <f t="shared" si="20"/>
        <v>3.1141388888888898E-5</v>
      </c>
      <c r="DF15" s="17">
        <v>0.5</v>
      </c>
      <c r="DG15" s="6"/>
      <c r="DH15" s="12">
        <f>IF(BF15&gt;0,CQ15*1200+DF15+BB!DX15,0.5)</f>
        <v>0.5</v>
      </c>
      <c r="DI15" s="6"/>
    </row>
    <row r="16" spans="57:157">
      <c r="BE16" s="15"/>
      <c r="BF16" s="28">
        <f>'Power Calculator'!C16</f>
        <v>30</v>
      </c>
      <c r="BG16" s="28">
        <f>'Power Calculator'!E16</f>
        <v>200</v>
      </c>
      <c r="BH16" s="28">
        <f>'Power Calculator'!F16</f>
        <v>50</v>
      </c>
      <c r="BI16" s="28" t="str">
        <f>'Power Calculator'!G16</f>
        <v>Yes</v>
      </c>
      <c r="BJ16" s="63">
        <f t="shared" si="5"/>
        <v>48</v>
      </c>
      <c r="BK16" s="63">
        <f t="shared" si="6"/>
        <v>50</v>
      </c>
      <c r="BL16" s="28">
        <f>'Power Calculator'!H16</f>
        <v>40</v>
      </c>
      <c r="BM16" s="28">
        <f>'Power Calculator'!I16</f>
        <v>2</v>
      </c>
      <c r="BN16" s="28">
        <f>'Power Calculator'!J16</f>
        <v>1</v>
      </c>
      <c r="BO16" s="28" t="str">
        <f>'Power Calculator'!K16</f>
        <v>No</v>
      </c>
      <c r="BP16" s="63">
        <f>IF(BO16="Yes",IF((BH16-BM16-BN16*BL16)&gt;2,BH16-BM16-BN16*BL16,2),BM16)</f>
        <v>2</v>
      </c>
      <c r="BQ16" s="63">
        <f>IF(BO16="Yes",BH16,BM16+BN16*BL16)</f>
        <v>42</v>
      </c>
      <c r="BR16" s="28">
        <f>'Power Calculator'!L16</f>
        <v>0</v>
      </c>
      <c r="BS16" s="28">
        <f>'Power Calculator'!M16</f>
        <v>0</v>
      </c>
      <c r="BT16" s="28">
        <v>1</v>
      </c>
      <c r="BU16" s="28">
        <f>'Power Calculator'!O16</f>
        <v>0</v>
      </c>
      <c r="BV16" s="63">
        <f t="shared" si="7"/>
        <v>0</v>
      </c>
      <c r="BW16" s="63">
        <f t="shared" si="8"/>
        <v>0</v>
      </c>
      <c r="BX16" s="28">
        <f>'Power Calculator'!P16</f>
        <v>0</v>
      </c>
      <c r="BY16" s="28">
        <f>'Power Calculator'!Q16</f>
        <v>0</v>
      </c>
      <c r="BZ16" s="28">
        <f>'Power Calculator'!R16</f>
        <v>0</v>
      </c>
      <c r="CA16" s="28" t="str">
        <f>'Power Calculator'!V16</f>
        <v>25 min</v>
      </c>
      <c r="CB16" s="25">
        <f t="shared" si="9"/>
        <v>0</v>
      </c>
      <c r="CC16" s="25">
        <f t="shared" si="10"/>
        <v>0</v>
      </c>
      <c r="CD16" s="25">
        <f>MAX(BQ16,BW16,CC16,BK16)-IF(MIN(BP16,IF(BR16&gt;0,BV16,1000),IF(BX16&gt;0,CB16,1000))&lt;1,1,MIN(BP16,IF(BR16&gt;0,BV16,1000),IF(BX16&gt;0,CB16,1000)))</f>
        <v>48</v>
      </c>
      <c r="CE16" s="25">
        <f>IF(BN16=0.5,BL16,0)+IF(BT16=0.5,BR16,0)+IF(BZ16=0.5,BX16,0)</f>
        <v>0</v>
      </c>
      <c r="CF16" s="25">
        <f>IF(BN16=1,BL16,0)+IF(BT16=1,BR16,0)+IF(BZ16=1,BX16,0)</f>
        <v>40</v>
      </c>
      <c r="CG16" s="25">
        <f>IF(BN16=1.5,BL16,0)+IF(BT16=1.5,BR16,0)+IF(BZ16=1.5,BX16,0)</f>
        <v>0</v>
      </c>
      <c r="CH16" s="25">
        <f>IF(BN16=2,BL16,0)+IF(BT16=2,BR16,0)+IF(BZ16=2,BX16,0)</f>
        <v>0</v>
      </c>
      <c r="CI16" s="25">
        <f>IF(BN16=2.5,BL16,0)+IF(BT16=2.5,BR16,0)+IF(BZ16=2.5,BX16,0)</f>
        <v>0</v>
      </c>
      <c r="CJ16" s="25">
        <f>IF(BN16=3,BL16,0)+IF(BT16=3,BR16,0)+IF(BZ16=3,BX16,0)</f>
        <v>0</v>
      </c>
      <c r="CK16" s="25">
        <f>IF(BN16=3.5,BL16,0)+IF(BT16=3.5,BR16,0)+IF(BZ16=3.5,BX16,0)</f>
        <v>0</v>
      </c>
      <c r="CL16" s="25">
        <f>IF(BN16=4,BL16,0)+IF(BT16=4,BR16,0)+IF(BZ16=4,BX16,0)</f>
        <v>0</v>
      </c>
      <c r="CM16" s="25">
        <f>IF(BN16=4.5,BL16,0)+IF(BT16=4.5,BR16,0)+IF(BZ16=4.5,BX16,0)</f>
        <v>0</v>
      </c>
      <c r="CN16" s="25">
        <f>IF(BN16=5,BL16,0)+IF(BT16=5,BR16,0)+IF(BZ16=5,BX16,0)</f>
        <v>0</v>
      </c>
      <c r="CO16" s="25">
        <f t="shared" si="11"/>
        <v>1</v>
      </c>
      <c r="CP16" s="25">
        <f>(BI16="Yes")+1+IF(BR16&gt;0,1,0)+IF(BX16&gt;0,1,0)</f>
        <v>2</v>
      </c>
      <c r="CQ16" s="25">
        <f t="shared" si="0"/>
        <v>8.9258568491151335E-3</v>
      </c>
      <c r="CR16" s="17">
        <v>3.0007000000000001</v>
      </c>
      <c r="CS16" s="17">
        <f t="shared" si="12"/>
        <v>2.2935194006568099E-4</v>
      </c>
      <c r="CT16" s="17">
        <f t="shared" si="13"/>
        <v>9.9317223316913001E-5</v>
      </c>
      <c r="CU16" s="17">
        <f t="shared" si="14"/>
        <v>9.2977222222222507E-6</v>
      </c>
      <c r="CV16" s="17">
        <f t="shared" si="15"/>
        <v>1.0160794061302701E-5</v>
      </c>
      <c r="CW16" s="17">
        <f t="shared" si="16"/>
        <v>1.1472967432950201E-5</v>
      </c>
      <c r="CX16" s="17">
        <f t="shared" si="1"/>
        <v>1.2870485632183901E-5</v>
      </c>
      <c r="CY16" s="17">
        <f t="shared" si="17"/>
        <v>1.4268003831417601E-5</v>
      </c>
      <c r="CZ16" s="17">
        <f t="shared" si="2"/>
        <v>1.5645522030651349E-5</v>
      </c>
      <c r="DA16" s="17">
        <f t="shared" si="18"/>
        <v>1.70230402298851E-5</v>
      </c>
      <c r="DB16" s="17">
        <f t="shared" si="3"/>
        <v>2.4003992337164748E-5</v>
      </c>
      <c r="DC16" s="17">
        <f t="shared" si="19"/>
        <v>3.0984944444444397E-5</v>
      </c>
      <c r="DD16" s="17">
        <f t="shared" si="4"/>
        <v>3.1063166666666644E-5</v>
      </c>
      <c r="DE16" s="17">
        <f t="shared" si="20"/>
        <v>3.1141388888888898E-5</v>
      </c>
      <c r="DF16" s="17">
        <v>0.5</v>
      </c>
      <c r="DG16" s="6"/>
      <c r="DH16" s="12">
        <f>IF(BF16&gt;0,CQ16*1200+DF16+BB!DX16,0.5)</f>
        <v>11.211028218938161</v>
      </c>
      <c r="DI16" s="6"/>
    </row>
    <row r="17" spans="57:113">
      <c r="BE17" s="15"/>
      <c r="BF17" s="28">
        <f>'Power Calculator'!C17</f>
        <v>30</v>
      </c>
      <c r="BG17" s="28">
        <f>'Power Calculator'!E17</f>
        <v>20</v>
      </c>
      <c r="BH17" s="28">
        <f>'Power Calculator'!F17</f>
        <v>60</v>
      </c>
      <c r="BI17" s="28" t="str">
        <f>'Power Calculator'!G17</f>
        <v>No</v>
      </c>
      <c r="BJ17" s="63">
        <f t="shared" si="5"/>
        <v>0</v>
      </c>
      <c r="BK17" s="63">
        <f t="shared" si="6"/>
        <v>0</v>
      </c>
      <c r="BL17" s="28">
        <f>'Power Calculator'!H17</f>
        <v>60</v>
      </c>
      <c r="BM17" s="28">
        <f>'Power Calculator'!I17</f>
        <v>2</v>
      </c>
      <c r="BN17" s="28">
        <f>'Power Calculator'!J17</f>
        <v>2</v>
      </c>
      <c r="BO17" s="28" t="str">
        <f>'Power Calculator'!K17</f>
        <v>Yes</v>
      </c>
      <c r="BP17" s="63">
        <f>IF(BO17="Yes",IF((BH17-BM17-BN17*BL17)&gt;2,BH17-BM17-BN17*BL17,2),BM17)</f>
        <v>2</v>
      </c>
      <c r="BQ17" s="63">
        <f>IF(BO17="Yes",BH17,BM17+BN17*BL17)</f>
        <v>60</v>
      </c>
      <c r="BR17" s="28">
        <f>'Power Calculator'!L17</f>
        <v>0</v>
      </c>
      <c r="BS17" s="28">
        <f>'Power Calculator'!M17</f>
        <v>1</v>
      </c>
      <c r="BT17" s="28">
        <f>'Power Calculator'!N17</f>
        <v>1</v>
      </c>
      <c r="BU17" s="28" t="str">
        <f>'Power Calculator'!O17</f>
        <v>No</v>
      </c>
      <c r="BV17" s="63">
        <f>IF(AND(BU17="Yes",BR17&gt;0),(BH17-BS17-BT17*BR17),IF(BR17&gt;0,BS17,0))</f>
        <v>0</v>
      </c>
      <c r="BW17" s="63">
        <f t="shared" si="8"/>
        <v>0</v>
      </c>
      <c r="BX17" s="28">
        <f>'Power Calculator'!P17</f>
        <v>0</v>
      </c>
      <c r="BY17" s="28">
        <f>'Power Calculator'!Q17</f>
        <v>2</v>
      </c>
      <c r="BZ17" s="28">
        <f>'Power Calculator'!R17</f>
        <v>3</v>
      </c>
      <c r="CA17" s="28" t="str">
        <f>'Power Calculator'!V17</f>
        <v>20 min</v>
      </c>
      <c r="CB17" s="25">
        <f t="shared" si="9"/>
        <v>0</v>
      </c>
      <c r="CC17" s="25">
        <f t="shared" si="10"/>
        <v>0</v>
      </c>
      <c r="CD17" s="25">
        <f>MAX(BQ17,BW17,CC17,BK17)-IF(MIN(BP17,IF(BR17&gt;0,BV17,1000),IF(BX17&gt;0,CB17,1000))&lt;1,1,MIN(BP17,IF(BR17&gt;0,BV17,1000),IF(BX17&gt;0,CB17,1000)))</f>
        <v>58</v>
      </c>
      <c r="CE17" s="25">
        <f>IF(BN17=0.5,BL17,0)+IF(BT17=0.5,BR17,0)+IF(BZ17=0.5,BX17,0)</f>
        <v>0</v>
      </c>
      <c r="CF17" s="25">
        <f>IF(BN17=1,BL17,0)+IF(BT17=1,BR17,0)+IF(BZ17=1,BX17,0)</f>
        <v>0</v>
      </c>
      <c r="CG17" s="25">
        <f>IF(BN17=1.5,BL17,0)+IF(BT17=1.5,BR17,0)+IF(BZ17=1.5,BX17,0)</f>
        <v>0</v>
      </c>
      <c r="CH17" s="25">
        <f>IF(BN17=2,BL17,0)+IF(BT17=2,BR17,0)+IF(BZ17=2,BX17,0)</f>
        <v>60</v>
      </c>
      <c r="CI17" s="25">
        <f>IF(BN17=2.5,BL17,0)+IF(BT17=2.5,BR17,0)+IF(BZ17=2.5,BX17,0)</f>
        <v>0</v>
      </c>
      <c r="CJ17" s="25">
        <f>IF(BN17=3,BL17,0)+IF(BT17=3,BR17,0)+IF(BZ17=3,BX17,0)</f>
        <v>0</v>
      </c>
      <c r="CK17" s="25">
        <f>IF(BN17=3.5,BL17,0)+IF(BT17=3.5,BR17,0)+IF(BZ17=3.5,BX17,0)</f>
        <v>0</v>
      </c>
      <c r="CL17" s="25">
        <f>IF(BN17=4,BL17,0)+IF(BT17=4,BR17,0)+IF(BZ17=4,BX17,0)</f>
        <v>0</v>
      </c>
      <c r="CM17" s="25">
        <f>IF(BN17=4.5,BL17,0)+IF(BT17=4.5,BR17,0)+IF(BZ17=4.5,BX17,0)</f>
        <v>0</v>
      </c>
      <c r="CN17" s="25">
        <f>IF(BN17=5,BL17,0)+IF(BT17=5,BR17,0)+IF(BZ17=5,BX17,0)</f>
        <v>0</v>
      </c>
      <c r="CO17" s="25">
        <f t="shared" si="11"/>
        <v>2</v>
      </c>
      <c r="CP17" s="25">
        <f>(BI17="Yes")+1+IF(BR17&gt;0,1,0)+IF(BX17&gt;0,1,0)</f>
        <v>1</v>
      </c>
      <c r="CQ17" s="25">
        <f t="shared" si="0"/>
        <v>1.9155563369823022E-3</v>
      </c>
      <c r="CR17" s="17">
        <v>4.0007000000000001</v>
      </c>
      <c r="CS17" s="17">
        <f t="shared" si="12"/>
        <v>2.2935194006568099E-4</v>
      </c>
      <c r="CT17" s="17">
        <f t="shared" si="13"/>
        <v>9.9317223316913001E-5</v>
      </c>
      <c r="CU17" s="17">
        <f t="shared" si="14"/>
        <v>9.2977222222222507E-6</v>
      </c>
      <c r="CV17" s="17">
        <f t="shared" si="15"/>
        <v>1.0160794061302701E-5</v>
      </c>
      <c r="CW17" s="17">
        <f t="shared" si="16"/>
        <v>1.1472967432950201E-5</v>
      </c>
      <c r="CX17" s="17">
        <f t="shared" si="1"/>
        <v>1.2870485632183901E-5</v>
      </c>
      <c r="CY17" s="17">
        <f t="shared" si="17"/>
        <v>1.4268003831417601E-5</v>
      </c>
      <c r="CZ17" s="17">
        <f t="shared" si="2"/>
        <v>1.5645522030651349E-5</v>
      </c>
      <c r="DA17" s="17">
        <f t="shared" si="18"/>
        <v>1.70230402298851E-5</v>
      </c>
      <c r="DB17" s="17">
        <f t="shared" si="3"/>
        <v>2.4003992337164748E-5</v>
      </c>
      <c r="DC17" s="17">
        <f t="shared" si="19"/>
        <v>3.0984944444444397E-5</v>
      </c>
      <c r="DD17" s="17">
        <f t="shared" si="4"/>
        <v>3.1063166666666644E-5</v>
      </c>
      <c r="DE17" s="17">
        <f t="shared" si="20"/>
        <v>3.1141388888888898E-5</v>
      </c>
      <c r="DF17" s="17">
        <v>0.5</v>
      </c>
      <c r="DG17" s="6"/>
      <c r="DH17" s="12">
        <f>IF(BF17&gt;0,CQ17*1200+DF17+BB!DX17,0.5)</f>
        <v>2.7986676043787626</v>
      </c>
      <c r="DI17" s="6"/>
    </row>
    <row r="18" spans="57:113" hidden="1">
      <c r="BE18" s="15"/>
      <c r="BF18" s="3" t="e">
        <f>'Power Calculator'!#REF!</f>
        <v>#REF!</v>
      </c>
      <c r="BG18" s="3" t="e">
        <f>'Power Calculator'!#REF!</f>
        <v>#REF!</v>
      </c>
      <c r="BH18" s="3" t="e">
        <f>'Power Calculator'!#REF!</f>
        <v>#REF!</v>
      </c>
      <c r="BI18" s="3" t="e">
        <f>'Power Calculator'!#REF!</f>
        <v>#REF!</v>
      </c>
      <c r="BJ18" s="20" t="e">
        <f t="shared" si="5"/>
        <v>#REF!</v>
      </c>
      <c r="BK18" s="20" t="e">
        <f t="shared" si="6"/>
        <v>#REF!</v>
      </c>
      <c r="BL18" s="20"/>
      <c r="BM18" s="3" t="e">
        <f>'Power Calculator'!#REF!</f>
        <v>#REF!</v>
      </c>
      <c r="BN18" s="3" t="e">
        <f>'Power Calculator'!#REF!</f>
        <v>#REF!</v>
      </c>
      <c r="BO18" s="3" t="e">
        <f>'Power Calculator'!#REF!</f>
        <v>#REF!</v>
      </c>
      <c r="BP18" s="20" t="e">
        <f>IF(BO18="Yes",IF((BH18-BM18-BN18*#REF!)&gt;2,BH18-BM18-BN18*#REF!,2),BM18)</f>
        <v>#REF!</v>
      </c>
      <c r="BQ18" s="20" t="e">
        <f>IF(BO18="Yes",BH18,BM18+BN18*#REF!)</f>
        <v>#REF!</v>
      </c>
      <c r="BR18" s="20"/>
      <c r="BS18" s="3" t="e">
        <f>'Power Calculator'!#REF!</f>
        <v>#REF!</v>
      </c>
      <c r="BT18" s="3" t="e">
        <f>'Power Calculator'!#REF!</f>
        <v>#REF!</v>
      </c>
      <c r="BU18" s="3" t="e">
        <f>'Power Calculator'!#REF!</f>
        <v>#REF!</v>
      </c>
      <c r="BV18" s="20" t="e">
        <f>IF(AND(BU18="Yes",#REF!&gt;0),(BH18-BS18-BT18*#REF!),BS18)</f>
        <v>#REF!</v>
      </c>
      <c r="BW18" s="20" t="e">
        <f>IF(AND(BU18="Yes",#REF!&gt;0),BH18-BS18,BS18+BT18*#REF!)</f>
        <v>#REF!</v>
      </c>
      <c r="BX18" s="20"/>
      <c r="BY18" s="3" t="e">
        <f>'Power Calculator'!#REF!</f>
        <v>#REF!</v>
      </c>
      <c r="BZ18" s="3" t="e">
        <f>'Power Calculator'!#REF!</f>
        <v>#REF!</v>
      </c>
      <c r="CA18" s="3" t="e">
        <f>'Power Calculator'!#REF!</f>
        <v>#REF!</v>
      </c>
      <c r="CB18" s="25" t="e">
        <f>IF(AND(CA18="Yes",#REF!&gt;0),(BH18-BY18-BZ18*#REF!),BY18)</f>
        <v>#REF!</v>
      </c>
      <c r="CC18" s="25" t="e">
        <f>IF(AND(CA18="Yes",#REF!&gt;0),BH18-BY18,BY18+BZ18*#REF!)</f>
        <v>#REF!</v>
      </c>
      <c r="CD18" s="25" t="e">
        <f>MAX(BQ18,BW18,CC18,BK18)-IF(MIN(BP18,IF(#REF!&gt;0,BV18,1000),IF(#REF!&gt;0,CB18,1000))&lt;1,1,MIN(BP18,IF(#REF!&gt;0,BV18,1000),IF(#REF!&gt;0,CB18,1000)))</f>
        <v>#REF!</v>
      </c>
      <c r="CE18" s="25" t="e">
        <f>IF(BN18=0.5,#REF!,0)+IF(BT18=0.5,#REF!,0)+IF(BZ18=0.5,#REF!,0)</f>
        <v>#REF!</v>
      </c>
      <c r="CF18" s="25" t="e">
        <f>IF(BN18=1,#REF!,0)+IF(BT18=1,#REF!,0)+IF(BZ18=1,#REF!,0)</f>
        <v>#REF!</v>
      </c>
      <c r="CG18" s="25" t="e">
        <f>IF(BN18=1.5,#REF!,0)+IF(BT18=1.5,#REF!,0)+IF(BZ18=1.5,#REF!,0)</f>
        <v>#REF!</v>
      </c>
      <c r="CH18" s="25" t="e">
        <f>IF(BN18=2,#REF!,0)+IF(BT18=2,#REF!,0)+IF(BZ18=2,#REF!,0)</f>
        <v>#REF!</v>
      </c>
      <c r="CI18" s="25" t="e">
        <f>IF(BN18=2.5,#REF!,0)+IF(BT18=2.5,#REF!,0)+IF(BZ18=2.5,#REF!,0)</f>
        <v>#REF!</v>
      </c>
      <c r="CJ18" s="25" t="e">
        <f>IF(BN18=3,#REF!,0)+IF(BT18=3,#REF!,0)+IF(BZ18=3,#REF!,0)</f>
        <v>#REF!</v>
      </c>
      <c r="CK18" s="25" t="e">
        <f>IF(BN18=3.5,#REF!,0)+IF(BT18=3.5,#REF!,0)+IF(BZ18=3.5,#REF!,0)</f>
        <v>#REF!</v>
      </c>
      <c r="CL18" s="25" t="e">
        <f>IF(BN18=4,#REF!,0)+IF(BT18=4,#REF!,0)+IF(BZ18=4,#REF!,0)</f>
        <v>#REF!</v>
      </c>
      <c r="CM18" s="25" t="e">
        <f>IF(BN18=4.5,#REF!,0)+IF(BT18=4.5,#REF!,0)+IF(BZ18=4.5,#REF!,0)</f>
        <v>#REF!</v>
      </c>
      <c r="CN18" s="25" t="e">
        <f>IF(BN18=5,#REF!,0)+IF(BT18=5,#REF!,0)+IF(BZ18=5,#REF!,0)</f>
        <v>#REF!</v>
      </c>
      <c r="CO18" s="25" t="e">
        <f t="shared" si="11"/>
        <v>#REF!</v>
      </c>
      <c r="CP18" s="25" t="e">
        <f>(BI18="Yes")+1+IF(#REF!&gt;0,1,0)+IF(#REF!&gt;0,1,0)</f>
        <v>#REF!</v>
      </c>
      <c r="CQ18" s="25" t="e">
        <f t="shared" si="0"/>
        <v>#REF!</v>
      </c>
      <c r="CR18" s="17">
        <v>5.0007000000000001</v>
      </c>
      <c r="CS18" s="17">
        <f t="shared" si="12"/>
        <v>2.2935194006568099E-4</v>
      </c>
      <c r="CT18" s="17">
        <f t="shared" si="13"/>
        <v>9.9317223316913001E-5</v>
      </c>
      <c r="CU18" s="17">
        <f t="shared" si="14"/>
        <v>9.2977222222222507E-6</v>
      </c>
      <c r="CV18" s="17">
        <f t="shared" si="15"/>
        <v>1.0160794061302701E-5</v>
      </c>
      <c r="CW18" s="17">
        <f t="shared" si="16"/>
        <v>1.1472967432950201E-5</v>
      </c>
      <c r="CX18" s="17">
        <f t="shared" si="1"/>
        <v>1.2870485632183901E-5</v>
      </c>
      <c r="CY18" s="17">
        <f t="shared" si="17"/>
        <v>1.4268003831417601E-5</v>
      </c>
      <c r="CZ18" s="17">
        <f t="shared" si="2"/>
        <v>1.5645522030651349E-5</v>
      </c>
      <c r="DA18" s="17">
        <f t="shared" si="18"/>
        <v>1.70230402298851E-5</v>
      </c>
      <c r="DB18" s="17">
        <f t="shared" si="3"/>
        <v>2.4003992337164748E-5</v>
      </c>
      <c r="DC18" s="17">
        <f t="shared" si="19"/>
        <v>3.0984944444444397E-5</v>
      </c>
      <c r="DD18" s="17">
        <f t="shared" si="4"/>
        <v>3.1063166666666644E-5</v>
      </c>
      <c r="DE18" s="17">
        <f t="shared" si="20"/>
        <v>3.1141388888888898E-5</v>
      </c>
      <c r="DG18" s="6"/>
      <c r="DH18" s="12" t="e">
        <f>IF(BF18&gt;0,CQ18*1200+DF18+BB!DX18,0.5)</f>
        <v>#REF!</v>
      </c>
      <c r="DI18" s="6"/>
    </row>
    <row r="19" spans="57:113" hidden="1">
      <c r="BE19" s="15"/>
      <c r="BF19" s="3" t="e">
        <f>'Power Calculator'!#REF!</f>
        <v>#REF!</v>
      </c>
      <c r="BG19" s="3" t="e">
        <f>'Power Calculator'!#REF!</f>
        <v>#REF!</v>
      </c>
      <c r="BH19" s="3" t="e">
        <f>'Power Calculator'!#REF!</f>
        <v>#REF!</v>
      </c>
      <c r="BI19" s="3" t="e">
        <f>'Power Calculator'!#REF!</f>
        <v>#REF!</v>
      </c>
      <c r="BJ19" s="20" t="e">
        <f t="shared" si="5"/>
        <v>#REF!</v>
      </c>
      <c r="BK19" s="20" t="e">
        <f t="shared" si="6"/>
        <v>#REF!</v>
      </c>
      <c r="BL19" s="20"/>
      <c r="BM19" s="3" t="e">
        <f>'Power Calculator'!#REF!</f>
        <v>#REF!</v>
      </c>
      <c r="BN19" s="3" t="e">
        <f>'Power Calculator'!#REF!</f>
        <v>#REF!</v>
      </c>
      <c r="BO19" s="3" t="e">
        <f>'Power Calculator'!#REF!</f>
        <v>#REF!</v>
      </c>
      <c r="BP19" s="20" t="e">
        <f>IF(BO19="Yes",IF((BH19-BM19-BN19*#REF!)&gt;2,BH19-BM19-BN19*#REF!,2),BM19)</f>
        <v>#REF!</v>
      </c>
      <c r="BQ19" s="20" t="e">
        <f>IF(BO19="Yes",BH19,BM19+BN19*#REF!)</f>
        <v>#REF!</v>
      </c>
      <c r="BR19" s="20"/>
      <c r="BS19" s="3" t="e">
        <f>'Power Calculator'!#REF!</f>
        <v>#REF!</v>
      </c>
      <c r="BT19" s="3" t="e">
        <f>'Power Calculator'!#REF!</f>
        <v>#REF!</v>
      </c>
      <c r="BU19" s="3" t="e">
        <f>'Power Calculator'!#REF!</f>
        <v>#REF!</v>
      </c>
      <c r="BV19" s="20" t="e">
        <f>IF(AND(BU19="Yes",#REF!&gt;0),(BH19-BS19-BT19*#REF!),BS19)</f>
        <v>#REF!</v>
      </c>
      <c r="BW19" s="20" t="e">
        <f>IF(AND(BU19="Yes",#REF!&gt;0),BH19-BS19,BS19+BT19*#REF!)</f>
        <v>#REF!</v>
      </c>
      <c r="BX19" s="20"/>
      <c r="BY19" s="3" t="e">
        <f>'Power Calculator'!#REF!</f>
        <v>#REF!</v>
      </c>
      <c r="BZ19" s="3" t="e">
        <f>'Power Calculator'!#REF!</f>
        <v>#REF!</v>
      </c>
      <c r="CA19" s="3" t="e">
        <f>'Power Calculator'!#REF!</f>
        <v>#REF!</v>
      </c>
      <c r="CB19" s="25" t="e">
        <f>IF(AND(CA19="Yes",#REF!&gt;0),(BH19-BY19-BZ19*#REF!),BY19)</f>
        <v>#REF!</v>
      </c>
      <c r="CC19" s="25" t="e">
        <f>IF(AND(CA19="Yes",#REF!&gt;0),BH19-BY19,BY19+BZ19*#REF!)</f>
        <v>#REF!</v>
      </c>
      <c r="CD19" s="25" t="e">
        <f>MAX(BQ19,BW19,CC19,BK19)-IF(MIN(BP19,IF(#REF!&gt;0,BV19,1000),IF(#REF!&gt;0,CB19,1000))&lt;1,1,MIN(BP19,IF(#REF!&gt;0,BV19,1000),IF(#REF!&gt;0,CB19,1000)))</f>
        <v>#REF!</v>
      </c>
      <c r="CE19" s="25" t="e">
        <f>IF(BN19=0.5,#REF!,0)+IF(BT19=0.5,#REF!,0)+IF(BZ19=0.5,#REF!,0)</f>
        <v>#REF!</v>
      </c>
      <c r="CF19" s="25" t="e">
        <f>IF(BN19=1,#REF!,0)+IF(BT19=1,#REF!,0)+IF(BZ19=1,#REF!,0)</f>
        <v>#REF!</v>
      </c>
      <c r="CG19" s="25" t="e">
        <f>IF(BN19=1.5,#REF!,0)+IF(BT19=1.5,#REF!,0)+IF(BZ19=1.5,#REF!,0)</f>
        <v>#REF!</v>
      </c>
      <c r="CH19" s="25" t="e">
        <f>IF(BN19=2,#REF!,0)+IF(BT19=2,#REF!,0)+IF(BZ19=2,#REF!,0)</f>
        <v>#REF!</v>
      </c>
      <c r="CI19" s="25" t="e">
        <f>IF(BN19=2.5,#REF!,0)+IF(BT19=2.5,#REF!,0)+IF(BZ19=2.5,#REF!,0)</f>
        <v>#REF!</v>
      </c>
      <c r="CJ19" s="25" t="e">
        <f>IF(BN19=3,#REF!,0)+IF(BT19=3,#REF!,0)+IF(BZ19=3,#REF!,0)</f>
        <v>#REF!</v>
      </c>
      <c r="CK19" s="25" t="e">
        <f>IF(BN19=3.5,#REF!,0)+IF(BT19=3.5,#REF!,0)+IF(BZ19=3.5,#REF!,0)</f>
        <v>#REF!</v>
      </c>
      <c r="CL19" s="25" t="e">
        <f>IF(BN19=4,#REF!,0)+IF(BT19=4,#REF!,0)+IF(BZ19=4,#REF!,0)</f>
        <v>#REF!</v>
      </c>
      <c r="CM19" s="25" t="e">
        <f>IF(BN19=4.5,#REF!,0)+IF(BT19=4.5,#REF!,0)+IF(BZ19=4.5,#REF!,0)</f>
        <v>#REF!</v>
      </c>
      <c r="CN19" s="25" t="e">
        <f>IF(BN19=5,#REF!,0)+IF(BT19=5,#REF!,0)+IF(BZ19=5,#REF!,0)</f>
        <v>#REF!</v>
      </c>
      <c r="CO19" s="25" t="e">
        <f t="shared" si="11"/>
        <v>#REF!</v>
      </c>
      <c r="CP19" s="25" t="e">
        <f>(BI19="Yes")+1+IF(#REF!&gt;0,1,0)+IF(#REF!&gt;0,1,0)</f>
        <v>#REF!</v>
      </c>
      <c r="CQ19" s="25" t="e">
        <f t="shared" si="0"/>
        <v>#REF!</v>
      </c>
      <c r="CR19" s="17">
        <v>6.0007000000000001</v>
      </c>
      <c r="CS19" s="17">
        <f t="shared" si="12"/>
        <v>2.2935194006568099E-4</v>
      </c>
      <c r="CT19" s="17">
        <f t="shared" si="13"/>
        <v>9.9317223316913001E-5</v>
      </c>
      <c r="CU19" s="17">
        <f t="shared" si="14"/>
        <v>9.2977222222222507E-6</v>
      </c>
      <c r="CV19" s="17">
        <f t="shared" si="15"/>
        <v>1.0160794061302701E-5</v>
      </c>
      <c r="CW19" s="17">
        <f t="shared" si="16"/>
        <v>1.1472967432950201E-5</v>
      </c>
      <c r="CX19" s="17">
        <f t="shared" si="1"/>
        <v>1.2870485632183901E-5</v>
      </c>
      <c r="CY19" s="17">
        <f t="shared" si="17"/>
        <v>1.4268003831417601E-5</v>
      </c>
      <c r="CZ19" s="17">
        <f t="shared" si="2"/>
        <v>1.5645522030651349E-5</v>
      </c>
      <c r="DA19" s="17">
        <f t="shared" si="18"/>
        <v>1.70230402298851E-5</v>
      </c>
      <c r="DB19" s="17">
        <f t="shared" si="3"/>
        <v>2.4003992337164748E-5</v>
      </c>
      <c r="DC19" s="17">
        <f t="shared" si="19"/>
        <v>3.0984944444444397E-5</v>
      </c>
      <c r="DD19" s="17">
        <f t="shared" si="4"/>
        <v>3.1063166666666644E-5</v>
      </c>
      <c r="DE19" s="17">
        <f t="shared" si="20"/>
        <v>3.1141388888888898E-5</v>
      </c>
      <c r="DG19" s="6"/>
      <c r="DH19" s="12" t="e">
        <f>IF(BF19&gt;0,CQ19*1200+DF19+BB!DX19,0.5)</f>
        <v>#REF!</v>
      </c>
      <c r="DI19" s="6"/>
    </row>
    <row r="20" spans="57:113" hidden="1">
      <c r="BE20" s="15"/>
      <c r="BF20" s="3" t="e">
        <f>'Power Calculator'!#REF!</f>
        <v>#REF!</v>
      </c>
      <c r="BG20" s="3" t="e">
        <f>'Power Calculator'!#REF!</f>
        <v>#REF!</v>
      </c>
      <c r="BH20" s="3" t="e">
        <f>'Power Calculator'!#REF!</f>
        <v>#REF!</v>
      </c>
      <c r="BI20" s="3" t="e">
        <f>'Power Calculator'!#REF!</f>
        <v>#REF!</v>
      </c>
      <c r="BJ20" s="20" t="e">
        <f t="shared" si="5"/>
        <v>#REF!</v>
      </c>
      <c r="BK20" s="20" t="e">
        <f t="shared" si="6"/>
        <v>#REF!</v>
      </c>
      <c r="BL20" s="20"/>
      <c r="BM20" s="3" t="e">
        <f>'Power Calculator'!#REF!</f>
        <v>#REF!</v>
      </c>
      <c r="BN20" s="3" t="e">
        <f>'Power Calculator'!#REF!</f>
        <v>#REF!</v>
      </c>
      <c r="BO20" s="3" t="e">
        <f>'Power Calculator'!#REF!</f>
        <v>#REF!</v>
      </c>
      <c r="BP20" s="20" t="e">
        <f>IF(BO20="Yes",IF((BH20-BM20-BN20*#REF!)&gt;2,BH20-BM20-BN20*#REF!,2),BM20)</f>
        <v>#REF!</v>
      </c>
      <c r="BQ20" s="20" t="e">
        <f>IF(BO20="Yes",BH20,BM20+BN20*#REF!)</f>
        <v>#REF!</v>
      </c>
      <c r="BR20" s="20"/>
      <c r="BS20" s="3" t="e">
        <f>'Power Calculator'!#REF!</f>
        <v>#REF!</v>
      </c>
      <c r="BT20" s="3" t="e">
        <f>'Power Calculator'!#REF!</f>
        <v>#REF!</v>
      </c>
      <c r="BU20" s="3" t="e">
        <f>'Power Calculator'!#REF!</f>
        <v>#REF!</v>
      </c>
      <c r="BV20" s="20" t="e">
        <f>IF(AND(BU20="Yes",#REF!&gt;0),(BH20-BS20-BT20*#REF!),BS20)</f>
        <v>#REF!</v>
      </c>
      <c r="BW20" s="20" t="e">
        <f>IF(AND(BU20="Yes",#REF!&gt;0),BH20-BS20,BS20+BT20*#REF!)</f>
        <v>#REF!</v>
      </c>
      <c r="BX20" s="20"/>
      <c r="BY20" s="3" t="e">
        <f>'Power Calculator'!#REF!</f>
        <v>#REF!</v>
      </c>
      <c r="BZ20" s="3" t="e">
        <f>'Power Calculator'!#REF!</f>
        <v>#REF!</v>
      </c>
      <c r="CA20" s="3" t="e">
        <f>'Power Calculator'!#REF!</f>
        <v>#REF!</v>
      </c>
      <c r="CB20" s="25" t="e">
        <f>IF(AND(CA20="Yes",#REF!&gt;0),(BH20-BY20-BZ20*#REF!),BY20)</f>
        <v>#REF!</v>
      </c>
      <c r="CC20" s="25" t="e">
        <f>IF(AND(CA20="Yes",#REF!&gt;0),BH20-BY20,BY20+BZ20*#REF!)</f>
        <v>#REF!</v>
      </c>
      <c r="CD20" s="25" t="e">
        <f>MAX(BQ20,BW20,CC20,BK20)-IF(MIN(BP20,IF(#REF!&gt;0,BV20,1000),IF(#REF!&gt;0,CB20,1000))&lt;1,1,MIN(BP20,IF(#REF!&gt;0,BV20,1000),IF(#REF!&gt;0,CB20,1000)))</f>
        <v>#REF!</v>
      </c>
      <c r="CE20" s="25" t="e">
        <f>IF(BN20=0.5,#REF!,0)+IF(BT20=0.5,#REF!,0)+IF(BZ20=0.5,#REF!,0)</f>
        <v>#REF!</v>
      </c>
      <c r="CF20" s="25" t="e">
        <f>IF(BN20=1,#REF!,0)+IF(BT20=1,#REF!,0)+IF(BZ20=1,#REF!,0)</f>
        <v>#REF!</v>
      </c>
      <c r="CG20" s="25" t="e">
        <f>IF(BN20=1.5,#REF!,0)+IF(BT20=1.5,#REF!,0)+IF(BZ20=1.5,#REF!,0)</f>
        <v>#REF!</v>
      </c>
      <c r="CH20" s="25" t="e">
        <f>IF(BN20=2,#REF!,0)+IF(BT20=2,#REF!,0)+IF(BZ20=2,#REF!,0)</f>
        <v>#REF!</v>
      </c>
      <c r="CI20" s="25" t="e">
        <f>IF(BN20=2.5,#REF!,0)+IF(BT20=2.5,#REF!,0)+IF(BZ20=2.5,#REF!,0)</f>
        <v>#REF!</v>
      </c>
      <c r="CJ20" s="25" t="e">
        <f>IF(BN20=3,#REF!,0)+IF(BT20=3,#REF!,0)+IF(BZ20=3,#REF!,0)</f>
        <v>#REF!</v>
      </c>
      <c r="CK20" s="25" t="e">
        <f>IF(BN20=3.5,#REF!,0)+IF(BT20=3.5,#REF!,0)+IF(BZ20=3.5,#REF!,0)</f>
        <v>#REF!</v>
      </c>
      <c r="CL20" s="25" t="e">
        <f>IF(BN20=4,#REF!,0)+IF(BT20=4,#REF!,0)+IF(BZ20=4,#REF!,0)</f>
        <v>#REF!</v>
      </c>
      <c r="CM20" s="25" t="e">
        <f>IF(BN20=4.5,#REF!,0)+IF(BT20=4.5,#REF!,0)+IF(BZ20=4.5,#REF!,0)</f>
        <v>#REF!</v>
      </c>
      <c r="CN20" s="25" t="e">
        <f>IF(BN20=5,#REF!,0)+IF(BT20=5,#REF!,0)+IF(BZ20=5,#REF!,0)</f>
        <v>#REF!</v>
      </c>
      <c r="CO20" s="25" t="e">
        <f t="shared" si="11"/>
        <v>#REF!</v>
      </c>
      <c r="CP20" s="25" t="e">
        <f>(BI20="Yes")+1+IF(#REF!&gt;0,1,0)+IF(#REF!&gt;0,1,0)</f>
        <v>#REF!</v>
      </c>
      <c r="CQ20" s="25" t="e">
        <f t="shared" si="0"/>
        <v>#REF!</v>
      </c>
      <c r="CR20" s="17">
        <v>7.0007000000000001</v>
      </c>
      <c r="CS20" s="17">
        <f t="shared" si="12"/>
        <v>2.2935194006568099E-4</v>
      </c>
      <c r="CT20" s="17">
        <f t="shared" si="13"/>
        <v>9.9317223316913001E-5</v>
      </c>
      <c r="CU20" s="17">
        <f t="shared" si="14"/>
        <v>9.2977222222222507E-6</v>
      </c>
      <c r="CV20" s="17">
        <f t="shared" si="15"/>
        <v>1.0160794061302701E-5</v>
      </c>
      <c r="CW20" s="17">
        <f t="shared" si="16"/>
        <v>1.1472967432950201E-5</v>
      </c>
      <c r="CX20" s="17">
        <f t="shared" si="1"/>
        <v>1.2870485632183901E-5</v>
      </c>
      <c r="CY20" s="17">
        <f t="shared" si="17"/>
        <v>1.4268003831417601E-5</v>
      </c>
      <c r="CZ20" s="17">
        <f t="shared" si="2"/>
        <v>1.5645522030651349E-5</v>
      </c>
      <c r="DA20" s="17">
        <f t="shared" si="18"/>
        <v>1.70230402298851E-5</v>
      </c>
      <c r="DB20" s="17">
        <f t="shared" si="3"/>
        <v>2.4003992337164748E-5</v>
      </c>
      <c r="DC20" s="17">
        <f t="shared" si="19"/>
        <v>3.0984944444444397E-5</v>
      </c>
      <c r="DD20" s="17">
        <f t="shared" si="4"/>
        <v>3.1063166666666644E-5</v>
      </c>
      <c r="DE20" s="17">
        <f t="shared" si="20"/>
        <v>3.1141388888888898E-5</v>
      </c>
      <c r="DG20" s="6"/>
      <c r="DH20" s="12" t="e">
        <f>IF(BF20&gt;0,CQ20*1200+DF20+BB!DX20,0.5)</f>
        <v>#REF!</v>
      </c>
      <c r="DI20" s="6"/>
    </row>
    <row r="21" spans="57:113" hidden="1">
      <c r="BE21" s="15"/>
      <c r="BF21" s="3" t="e">
        <f>'Power Calculator'!#REF!</f>
        <v>#REF!</v>
      </c>
      <c r="BG21" s="3" t="e">
        <f>'Power Calculator'!#REF!</f>
        <v>#REF!</v>
      </c>
      <c r="BH21" s="3" t="e">
        <f>'Power Calculator'!#REF!</f>
        <v>#REF!</v>
      </c>
      <c r="BI21" s="3" t="e">
        <f>'Power Calculator'!#REF!</f>
        <v>#REF!</v>
      </c>
      <c r="BJ21" s="20" t="e">
        <f t="shared" si="5"/>
        <v>#REF!</v>
      </c>
      <c r="BK21" s="20" t="e">
        <f t="shared" si="6"/>
        <v>#REF!</v>
      </c>
      <c r="BL21" s="20"/>
      <c r="BM21" s="3" t="e">
        <f>'Power Calculator'!#REF!</f>
        <v>#REF!</v>
      </c>
      <c r="BN21" s="3" t="e">
        <f>'Power Calculator'!#REF!</f>
        <v>#REF!</v>
      </c>
      <c r="BO21" s="3" t="e">
        <f>'Power Calculator'!#REF!</f>
        <v>#REF!</v>
      </c>
      <c r="BP21" s="20" t="e">
        <f>IF(BO21="Yes",IF((BH21-BM21-BN21*#REF!)&gt;2,BH21-BM21-BN21*#REF!,2),BM21)</f>
        <v>#REF!</v>
      </c>
      <c r="BQ21" s="20" t="e">
        <f>IF(BO21="Yes",BH21,BM21+BN21*#REF!)</f>
        <v>#REF!</v>
      </c>
      <c r="BR21" s="20"/>
      <c r="BS21" s="3" t="e">
        <f>'Power Calculator'!#REF!</f>
        <v>#REF!</v>
      </c>
      <c r="BT21" s="3" t="e">
        <f>'Power Calculator'!#REF!</f>
        <v>#REF!</v>
      </c>
      <c r="BU21" s="3" t="e">
        <f>'Power Calculator'!#REF!</f>
        <v>#REF!</v>
      </c>
      <c r="BV21" s="20" t="e">
        <f>IF(AND(BU21="Yes",#REF!&gt;0),(BH21-BS21-BT21*#REF!),BS21)</f>
        <v>#REF!</v>
      </c>
      <c r="BW21" s="20" t="e">
        <f>IF(AND(BU21="Yes",#REF!&gt;0),BH21-BS21,BS21+BT21*#REF!)</f>
        <v>#REF!</v>
      </c>
      <c r="BX21" s="20"/>
      <c r="BY21" s="3" t="e">
        <f>'Power Calculator'!#REF!</f>
        <v>#REF!</v>
      </c>
      <c r="BZ21" s="3" t="e">
        <f>'Power Calculator'!#REF!</f>
        <v>#REF!</v>
      </c>
      <c r="CA21" s="3" t="e">
        <f>'Power Calculator'!#REF!</f>
        <v>#REF!</v>
      </c>
      <c r="CB21" s="25" t="e">
        <f>IF(AND(CA21="Yes",#REF!&gt;0),(BH21-BY21-BZ21*#REF!),BY21)</f>
        <v>#REF!</v>
      </c>
      <c r="CC21" s="25" t="e">
        <f>IF(AND(CA21="Yes",#REF!&gt;0),BH21-BY21,BY21+BZ21*#REF!)</f>
        <v>#REF!</v>
      </c>
      <c r="CD21" s="25" t="e">
        <f>MAX(BQ21,BW21,CC21,BK21)-IF(MIN(BP21,IF(#REF!&gt;0,BV21,1000),IF(#REF!&gt;0,CB21,1000))&lt;1,1,MIN(BP21,IF(#REF!&gt;0,BV21,1000),IF(#REF!&gt;0,CB21,1000)))</f>
        <v>#REF!</v>
      </c>
      <c r="CE21" s="25" t="e">
        <f>IF(BN21=0.5,#REF!,0)+IF(BT21=0.5,#REF!,0)+IF(BZ21=0.5,#REF!,0)</f>
        <v>#REF!</v>
      </c>
      <c r="CF21" s="25" t="e">
        <f>IF(BN21=1,#REF!,0)+IF(BT21=1,#REF!,0)+IF(BZ21=1,#REF!,0)</f>
        <v>#REF!</v>
      </c>
      <c r="CG21" s="25" t="e">
        <f>IF(BN21=1.5,#REF!,0)+IF(BT21=1.5,#REF!,0)+IF(BZ21=1.5,#REF!,0)</f>
        <v>#REF!</v>
      </c>
      <c r="CH21" s="25" t="e">
        <f>IF(BN21=2,#REF!,0)+IF(BT21=2,#REF!,0)+IF(BZ21=2,#REF!,0)</f>
        <v>#REF!</v>
      </c>
      <c r="CI21" s="25" t="e">
        <f>IF(BN21=2.5,#REF!,0)+IF(BT21=2.5,#REF!,0)+IF(BZ21=2.5,#REF!,0)</f>
        <v>#REF!</v>
      </c>
      <c r="CJ21" s="25" t="e">
        <f>IF(BN21=3,#REF!,0)+IF(BT21=3,#REF!,0)+IF(BZ21=3,#REF!,0)</f>
        <v>#REF!</v>
      </c>
      <c r="CK21" s="25" t="e">
        <f>IF(BN21=3.5,#REF!,0)+IF(BT21=3.5,#REF!,0)+IF(BZ21=3.5,#REF!,0)</f>
        <v>#REF!</v>
      </c>
      <c r="CL21" s="25" t="e">
        <f>IF(BN21=4,#REF!,0)+IF(BT21=4,#REF!,0)+IF(BZ21=4,#REF!,0)</f>
        <v>#REF!</v>
      </c>
      <c r="CM21" s="25" t="e">
        <f>IF(BN21=4.5,#REF!,0)+IF(BT21=4.5,#REF!,0)+IF(BZ21=4.5,#REF!,0)</f>
        <v>#REF!</v>
      </c>
      <c r="CN21" s="25" t="e">
        <f>IF(BN21=5,#REF!,0)+IF(BT21=5,#REF!,0)+IF(BZ21=5,#REF!,0)</f>
        <v>#REF!</v>
      </c>
      <c r="CO21" s="25" t="e">
        <f t="shared" si="11"/>
        <v>#REF!</v>
      </c>
      <c r="CP21" s="25" t="e">
        <f>(BI21="Yes")+1+IF(#REF!&gt;0,1,0)+IF(#REF!&gt;0,1,0)</f>
        <v>#REF!</v>
      </c>
      <c r="CQ21" s="25" t="e">
        <f t="shared" si="0"/>
        <v>#REF!</v>
      </c>
      <c r="CR21" s="17">
        <v>8.0007000000000001</v>
      </c>
      <c r="CS21" s="17">
        <f t="shared" si="12"/>
        <v>2.2935194006568099E-4</v>
      </c>
      <c r="CT21" s="17">
        <f t="shared" si="13"/>
        <v>9.9317223316913001E-5</v>
      </c>
      <c r="CU21" s="17">
        <f t="shared" si="14"/>
        <v>9.2977222222222507E-6</v>
      </c>
      <c r="CV21" s="17">
        <f t="shared" si="15"/>
        <v>1.0160794061302701E-5</v>
      </c>
      <c r="CW21" s="17">
        <f t="shared" si="16"/>
        <v>1.1472967432950201E-5</v>
      </c>
      <c r="CX21" s="17">
        <f t="shared" si="1"/>
        <v>1.2870485632183901E-5</v>
      </c>
      <c r="CY21" s="17">
        <f t="shared" si="17"/>
        <v>1.4268003831417601E-5</v>
      </c>
      <c r="CZ21" s="17">
        <f t="shared" si="2"/>
        <v>1.5645522030651349E-5</v>
      </c>
      <c r="DA21" s="17">
        <f t="shared" si="18"/>
        <v>1.70230402298851E-5</v>
      </c>
      <c r="DB21" s="17">
        <f t="shared" si="3"/>
        <v>2.4003992337164748E-5</v>
      </c>
      <c r="DC21" s="17">
        <f t="shared" si="19"/>
        <v>3.0984944444444397E-5</v>
      </c>
      <c r="DD21" s="17">
        <f t="shared" si="4"/>
        <v>3.1063166666666644E-5</v>
      </c>
      <c r="DE21" s="17">
        <f t="shared" si="20"/>
        <v>3.1141388888888898E-5</v>
      </c>
      <c r="DG21" s="6"/>
      <c r="DH21" s="12" t="e">
        <f>IF(BF21&gt;0,CQ21*1200+DF21+BB!DX21,0.5)</f>
        <v>#REF!</v>
      </c>
      <c r="DI21" s="6"/>
    </row>
    <row r="22" spans="57:113" hidden="1">
      <c r="BE22" s="15"/>
      <c r="BF22" s="3" t="e">
        <f>'Power Calculator'!#REF!</f>
        <v>#REF!</v>
      </c>
      <c r="BG22" s="3" t="e">
        <f>'Power Calculator'!#REF!</f>
        <v>#REF!</v>
      </c>
      <c r="BH22" s="3" t="e">
        <f>'Power Calculator'!#REF!</f>
        <v>#REF!</v>
      </c>
      <c r="BI22" s="3" t="e">
        <f>'Power Calculator'!#REF!</f>
        <v>#REF!</v>
      </c>
      <c r="BJ22" s="20" t="e">
        <f t="shared" si="5"/>
        <v>#REF!</v>
      </c>
      <c r="BK22" s="20" t="e">
        <f t="shared" si="6"/>
        <v>#REF!</v>
      </c>
      <c r="BL22" s="20"/>
      <c r="BM22" s="3" t="e">
        <f>'Power Calculator'!#REF!</f>
        <v>#REF!</v>
      </c>
      <c r="BN22" s="3" t="e">
        <f>'Power Calculator'!#REF!</f>
        <v>#REF!</v>
      </c>
      <c r="BO22" s="3" t="e">
        <f>'Power Calculator'!#REF!</f>
        <v>#REF!</v>
      </c>
      <c r="BP22" s="20" t="e">
        <f>IF(BO22="Yes",IF((BH22-BM22-BN22*#REF!)&gt;2,BH22-BM22-BN22*#REF!,2),BM22)</f>
        <v>#REF!</v>
      </c>
      <c r="BQ22" s="20" t="e">
        <f>IF(BO22="Yes",BH22,BM22+BN22*#REF!)</f>
        <v>#REF!</v>
      </c>
      <c r="BR22" s="20"/>
      <c r="BS22" s="3" t="e">
        <f>'Power Calculator'!#REF!</f>
        <v>#REF!</v>
      </c>
      <c r="BT22" s="3" t="e">
        <f>'Power Calculator'!#REF!</f>
        <v>#REF!</v>
      </c>
      <c r="BU22" s="3" t="e">
        <f>'Power Calculator'!#REF!</f>
        <v>#REF!</v>
      </c>
      <c r="BV22" s="20" t="e">
        <f>IF(AND(BU22="Yes",#REF!&gt;0),(BH22-BS22-BT22*#REF!),BS22)</f>
        <v>#REF!</v>
      </c>
      <c r="BW22" s="20" t="e">
        <f>IF(AND(BU22="Yes",#REF!&gt;0),BH22-BS22,BS22+BT22*#REF!)</f>
        <v>#REF!</v>
      </c>
      <c r="BX22" s="20"/>
      <c r="BY22" s="3" t="e">
        <f>'Power Calculator'!#REF!</f>
        <v>#REF!</v>
      </c>
      <c r="BZ22" s="3" t="e">
        <f>'Power Calculator'!#REF!</f>
        <v>#REF!</v>
      </c>
      <c r="CA22" s="3" t="e">
        <f>'Power Calculator'!#REF!</f>
        <v>#REF!</v>
      </c>
      <c r="CB22" s="25" t="e">
        <f>IF(AND(CA22="Yes",#REF!&gt;0),(BH22-BY22-BZ22*#REF!),BY22)</f>
        <v>#REF!</v>
      </c>
      <c r="CC22" s="25" t="e">
        <f>IF(AND(CA22="Yes",#REF!&gt;0),BH22-BY22,BY22+BZ22*#REF!)</f>
        <v>#REF!</v>
      </c>
      <c r="CD22" s="25" t="e">
        <f>MAX(BQ22,BW22,CC22,BK22)-IF(MIN(BP22,IF(#REF!&gt;0,BV22,1000),IF(#REF!&gt;0,CB22,1000))&lt;1,1,MIN(BP22,IF(#REF!&gt;0,BV22,1000),IF(#REF!&gt;0,CB22,1000)))</f>
        <v>#REF!</v>
      </c>
      <c r="CE22" s="25" t="e">
        <f>IF(BN22=0.5,#REF!,0)+IF(BT22=0.5,#REF!,0)+IF(BZ22=0.5,#REF!,0)</f>
        <v>#REF!</v>
      </c>
      <c r="CF22" s="25" t="e">
        <f>IF(BN22=1,#REF!,0)+IF(BT22=1,#REF!,0)+IF(BZ22=1,#REF!,0)</f>
        <v>#REF!</v>
      </c>
      <c r="CG22" s="25" t="e">
        <f>IF(BN22=1.5,#REF!,0)+IF(BT22=1.5,#REF!,0)+IF(BZ22=1.5,#REF!,0)</f>
        <v>#REF!</v>
      </c>
      <c r="CH22" s="25" t="e">
        <f>IF(BN22=2,#REF!,0)+IF(BT22=2,#REF!,0)+IF(BZ22=2,#REF!,0)</f>
        <v>#REF!</v>
      </c>
      <c r="CI22" s="25" t="e">
        <f>IF(BN22=2.5,#REF!,0)+IF(BT22=2.5,#REF!,0)+IF(BZ22=2.5,#REF!,0)</f>
        <v>#REF!</v>
      </c>
      <c r="CJ22" s="25" t="e">
        <f>IF(BN22=3,#REF!,0)+IF(BT22=3,#REF!,0)+IF(BZ22=3,#REF!,0)</f>
        <v>#REF!</v>
      </c>
      <c r="CK22" s="25" t="e">
        <f>IF(BN22=3.5,#REF!,0)+IF(BT22=3.5,#REF!,0)+IF(BZ22=3.5,#REF!,0)</f>
        <v>#REF!</v>
      </c>
      <c r="CL22" s="25" t="e">
        <f>IF(BN22=4,#REF!,0)+IF(BT22=4,#REF!,0)+IF(BZ22=4,#REF!,0)</f>
        <v>#REF!</v>
      </c>
      <c r="CM22" s="25" t="e">
        <f>IF(BN22=4.5,#REF!,0)+IF(BT22=4.5,#REF!,0)+IF(BZ22=4.5,#REF!,0)</f>
        <v>#REF!</v>
      </c>
      <c r="CN22" s="25" t="e">
        <f>IF(BN22=5,#REF!,0)+IF(BT22=5,#REF!,0)+IF(BZ22=5,#REF!,0)</f>
        <v>#REF!</v>
      </c>
      <c r="CO22" s="25" t="e">
        <f t="shared" si="11"/>
        <v>#REF!</v>
      </c>
      <c r="CP22" s="25" t="e">
        <f>(BI22="Yes")+1+IF(#REF!&gt;0,1,0)+IF(#REF!&gt;0,1,0)</f>
        <v>#REF!</v>
      </c>
      <c r="CQ22" s="25" t="e">
        <f t="shared" si="0"/>
        <v>#REF!</v>
      </c>
      <c r="CR22" s="17">
        <v>9.0007000000000001</v>
      </c>
      <c r="CS22" s="17">
        <f t="shared" si="12"/>
        <v>2.2935194006568099E-4</v>
      </c>
      <c r="CT22" s="17">
        <f t="shared" si="13"/>
        <v>9.9317223316913001E-5</v>
      </c>
      <c r="CU22" s="17">
        <f t="shared" si="14"/>
        <v>9.2977222222222507E-6</v>
      </c>
      <c r="CV22" s="17">
        <f t="shared" si="15"/>
        <v>1.0160794061302701E-5</v>
      </c>
      <c r="CW22" s="17">
        <f t="shared" si="16"/>
        <v>1.1472967432950201E-5</v>
      </c>
      <c r="CX22" s="17">
        <f t="shared" si="1"/>
        <v>1.2870485632183901E-5</v>
      </c>
      <c r="CY22" s="17">
        <f t="shared" si="17"/>
        <v>1.4268003831417601E-5</v>
      </c>
      <c r="CZ22" s="17">
        <f t="shared" si="2"/>
        <v>1.5645522030651349E-5</v>
      </c>
      <c r="DA22" s="17">
        <f t="shared" si="18"/>
        <v>1.70230402298851E-5</v>
      </c>
      <c r="DB22" s="17">
        <f t="shared" si="3"/>
        <v>2.4003992337164748E-5</v>
      </c>
      <c r="DC22" s="17">
        <f t="shared" si="19"/>
        <v>3.0984944444444397E-5</v>
      </c>
      <c r="DD22" s="17">
        <f t="shared" si="4"/>
        <v>3.1063166666666644E-5</v>
      </c>
      <c r="DE22" s="17">
        <f t="shared" si="20"/>
        <v>3.1141388888888898E-5</v>
      </c>
      <c r="DG22" s="6"/>
      <c r="DH22" s="12" t="e">
        <f>IF(BF22&gt;0,CQ22*1200+DF22+BB!DX22,0.5)</f>
        <v>#REF!</v>
      </c>
      <c r="DI22" s="6"/>
    </row>
    <row r="23" spans="57:113" hidden="1">
      <c r="BE23" s="15"/>
      <c r="BF23" s="3" t="e">
        <f>'Power Calculator'!#REF!</f>
        <v>#REF!</v>
      </c>
      <c r="BG23" s="3" t="e">
        <f>'Power Calculator'!#REF!</f>
        <v>#REF!</v>
      </c>
      <c r="BH23" s="3" t="e">
        <f>'Power Calculator'!#REF!</f>
        <v>#REF!</v>
      </c>
      <c r="BI23" s="3" t="e">
        <f>'Power Calculator'!#REF!</f>
        <v>#REF!</v>
      </c>
      <c r="BJ23" s="20" t="e">
        <f t="shared" si="5"/>
        <v>#REF!</v>
      </c>
      <c r="BK23" s="20" t="e">
        <f t="shared" si="6"/>
        <v>#REF!</v>
      </c>
      <c r="BL23" s="20"/>
      <c r="BM23" s="3" t="e">
        <f>'Power Calculator'!#REF!</f>
        <v>#REF!</v>
      </c>
      <c r="BN23" s="3" t="e">
        <f>'Power Calculator'!#REF!</f>
        <v>#REF!</v>
      </c>
      <c r="BO23" s="3" t="e">
        <f>'Power Calculator'!#REF!</f>
        <v>#REF!</v>
      </c>
      <c r="BP23" s="20" t="e">
        <f>IF(BO23="Yes",IF((BH23-BM23-BN23*#REF!)&gt;2,BH23-BM23-BN23*#REF!,2),BM23)</f>
        <v>#REF!</v>
      </c>
      <c r="BQ23" s="20" t="e">
        <f>IF(BO23="Yes",BH23,BM23+BN23*#REF!)</f>
        <v>#REF!</v>
      </c>
      <c r="BR23" s="20"/>
      <c r="BS23" s="3" t="e">
        <f>'Power Calculator'!#REF!</f>
        <v>#REF!</v>
      </c>
      <c r="BT23" s="3" t="e">
        <f>'Power Calculator'!#REF!</f>
        <v>#REF!</v>
      </c>
      <c r="BU23" s="3" t="e">
        <f>'Power Calculator'!#REF!</f>
        <v>#REF!</v>
      </c>
      <c r="BV23" s="20" t="e">
        <f>IF(AND(BU23="Yes",#REF!&gt;0),(BH23-BS23-BT23*#REF!),BS23)</f>
        <v>#REF!</v>
      </c>
      <c r="BW23" s="20" t="e">
        <f>IF(AND(BU23="Yes",#REF!&gt;0),BH23-BS23,BS23+BT23*#REF!)</f>
        <v>#REF!</v>
      </c>
      <c r="BX23" s="20"/>
      <c r="BY23" s="3" t="e">
        <f>'Power Calculator'!#REF!</f>
        <v>#REF!</v>
      </c>
      <c r="BZ23" s="3" t="e">
        <f>'Power Calculator'!#REF!</f>
        <v>#REF!</v>
      </c>
      <c r="CA23" s="3" t="e">
        <f>'Power Calculator'!#REF!</f>
        <v>#REF!</v>
      </c>
      <c r="CB23" s="25" t="e">
        <f>IF(AND(CA23="Yes",#REF!&gt;0),(BH23-BY23-BZ23*#REF!),BY23)</f>
        <v>#REF!</v>
      </c>
      <c r="CC23" s="25" t="e">
        <f>IF(AND(CA23="Yes",#REF!&gt;0),BH23-BY23,BY23+BZ23*#REF!)</f>
        <v>#REF!</v>
      </c>
      <c r="CD23" s="25" t="e">
        <f>MAX(BQ23,BW23,CC23,BK23)-IF(MIN(BP23,IF(#REF!&gt;0,BV23,1000),IF(#REF!&gt;0,CB23,1000))&lt;1,1,MIN(BP23,IF(#REF!&gt;0,BV23,1000),IF(#REF!&gt;0,CB23,1000)))</f>
        <v>#REF!</v>
      </c>
      <c r="CE23" s="25" t="e">
        <f>IF(BN23=0.5,#REF!,0)+IF(BT23=0.5,#REF!,0)+IF(BZ23=0.5,#REF!,0)</f>
        <v>#REF!</v>
      </c>
      <c r="CF23" s="25" t="e">
        <f>IF(BN23=1,#REF!,0)+IF(BT23=1,#REF!,0)+IF(BZ23=1,#REF!,0)</f>
        <v>#REF!</v>
      </c>
      <c r="CG23" s="25" t="e">
        <f>IF(BN23=1.5,#REF!,0)+IF(BT23=1.5,#REF!,0)+IF(BZ23=1.5,#REF!,0)</f>
        <v>#REF!</v>
      </c>
      <c r="CH23" s="25" t="e">
        <f>IF(BN23=2,#REF!,0)+IF(BT23=2,#REF!,0)+IF(BZ23=2,#REF!,0)</f>
        <v>#REF!</v>
      </c>
      <c r="CI23" s="25" t="e">
        <f>IF(BN23=2.5,#REF!,0)+IF(BT23=2.5,#REF!,0)+IF(BZ23=2.5,#REF!,0)</f>
        <v>#REF!</v>
      </c>
      <c r="CJ23" s="25" t="e">
        <f>IF(BN23=3,#REF!,0)+IF(BT23=3,#REF!,0)+IF(BZ23=3,#REF!,0)</f>
        <v>#REF!</v>
      </c>
      <c r="CK23" s="25" t="e">
        <f>IF(BN23=3.5,#REF!,0)+IF(BT23=3.5,#REF!,0)+IF(BZ23=3.5,#REF!,0)</f>
        <v>#REF!</v>
      </c>
      <c r="CL23" s="25" t="e">
        <f>IF(BN23=4,#REF!,0)+IF(BT23=4,#REF!,0)+IF(BZ23=4,#REF!,0)</f>
        <v>#REF!</v>
      </c>
      <c r="CM23" s="25" t="e">
        <f>IF(BN23=4.5,#REF!,0)+IF(BT23=4.5,#REF!,0)+IF(BZ23=4.5,#REF!,0)</f>
        <v>#REF!</v>
      </c>
      <c r="CN23" s="25" t="e">
        <f>IF(BN23=5,#REF!,0)+IF(BT23=5,#REF!,0)+IF(BZ23=5,#REF!,0)</f>
        <v>#REF!</v>
      </c>
      <c r="CO23" s="25" t="e">
        <f t="shared" si="11"/>
        <v>#REF!</v>
      </c>
      <c r="CP23" s="25" t="e">
        <f>(BI23="Yes")+1+IF(#REF!&gt;0,1,0)+IF(#REF!&gt;0,1,0)</f>
        <v>#REF!</v>
      </c>
      <c r="CQ23" s="25" t="e">
        <f t="shared" si="0"/>
        <v>#REF!</v>
      </c>
      <c r="CR23" s="17">
        <v>10.0007</v>
      </c>
      <c r="CS23" s="17">
        <f t="shared" si="12"/>
        <v>2.2935194006568099E-4</v>
      </c>
      <c r="CT23" s="17">
        <f t="shared" si="13"/>
        <v>9.9317223316913001E-5</v>
      </c>
      <c r="CU23" s="17">
        <f t="shared" si="14"/>
        <v>9.2977222222222507E-6</v>
      </c>
      <c r="CV23" s="17">
        <f t="shared" si="15"/>
        <v>1.0160794061302701E-5</v>
      </c>
      <c r="CW23" s="17">
        <f t="shared" si="16"/>
        <v>1.1472967432950201E-5</v>
      </c>
      <c r="CX23" s="17">
        <f t="shared" si="1"/>
        <v>1.2870485632183901E-5</v>
      </c>
      <c r="CY23" s="17">
        <f t="shared" si="17"/>
        <v>1.4268003831417601E-5</v>
      </c>
      <c r="CZ23" s="17">
        <f t="shared" si="2"/>
        <v>1.5645522030651349E-5</v>
      </c>
      <c r="DA23" s="17">
        <f t="shared" si="18"/>
        <v>1.70230402298851E-5</v>
      </c>
      <c r="DB23" s="17">
        <f t="shared" si="3"/>
        <v>2.4003992337164748E-5</v>
      </c>
      <c r="DC23" s="17">
        <f t="shared" si="19"/>
        <v>3.0984944444444397E-5</v>
      </c>
      <c r="DD23" s="17">
        <f t="shared" si="4"/>
        <v>3.1063166666666644E-5</v>
      </c>
      <c r="DE23" s="17">
        <f t="shared" si="20"/>
        <v>3.1141388888888898E-5</v>
      </c>
      <c r="DG23" s="6"/>
      <c r="DH23" s="12" t="e">
        <f>IF(BF23&gt;0,CQ23*1200+DF23+BB!DX23,0.5)</f>
        <v>#REF!</v>
      </c>
      <c r="DI23" s="6"/>
    </row>
    <row r="24" spans="57:113" hidden="1">
      <c r="BE24" s="15"/>
      <c r="BF24" s="3" t="e">
        <f>'Power Calculator'!#REF!</f>
        <v>#REF!</v>
      </c>
      <c r="BG24" s="3" t="e">
        <f>'Power Calculator'!#REF!</f>
        <v>#REF!</v>
      </c>
      <c r="BH24" s="3" t="e">
        <f>'Power Calculator'!#REF!</f>
        <v>#REF!</v>
      </c>
      <c r="BI24" s="3" t="e">
        <f>'Power Calculator'!#REF!</f>
        <v>#REF!</v>
      </c>
      <c r="BJ24" s="20" t="e">
        <f t="shared" si="5"/>
        <v>#REF!</v>
      </c>
      <c r="BK24" s="20" t="e">
        <f t="shared" si="6"/>
        <v>#REF!</v>
      </c>
      <c r="BL24" s="20"/>
      <c r="BM24" s="3" t="e">
        <f>'Power Calculator'!#REF!</f>
        <v>#REF!</v>
      </c>
      <c r="BN24" s="3" t="e">
        <f>'Power Calculator'!#REF!</f>
        <v>#REF!</v>
      </c>
      <c r="BO24" s="3" t="e">
        <f>'Power Calculator'!#REF!</f>
        <v>#REF!</v>
      </c>
      <c r="BP24" s="20" t="e">
        <f>IF(BO24="Yes",IF((BH24-BM24-BN24*#REF!)&gt;2,BH24-BM24-BN24*#REF!,2),BM24)</f>
        <v>#REF!</v>
      </c>
      <c r="BQ24" s="20" t="e">
        <f>IF(BO24="Yes",BH24,BM24+BN24*#REF!)</f>
        <v>#REF!</v>
      </c>
      <c r="BR24" s="20"/>
      <c r="BS24" s="3" t="e">
        <f>'Power Calculator'!#REF!</f>
        <v>#REF!</v>
      </c>
      <c r="BT24" s="3" t="e">
        <f>'Power Calculator'!#REF!</f>
        <v>#REF!</v>
      </c>
      <c r="BU24" s="3" t="e">
        <f>'Power Calculator'!#REF!</f>
        <v>#REF!</v>
      </c>
      <c r="BV24" s="20" t="e">
        <f>IF(AND(BU24="Yes",#REF!&gt;0),(BH24-BS24-BT24*#REF!),BS24)</f>
        <v>#REF!</v>
      </c>
      <c r="BW24" s="20" t="e">
        <f>IF(AND(BU24="Yes",#REF!&gt;0),BH24-BS24,BS24+BT24*#REF!)</f>
        <v>#REF!</v>
      </c>
      <c r="BX24" s="20"/>
      <c r="BY24" s="3" t="e">
        <f>'Power Calculator'!#REF!</f>
        <v>#REF!</v>
      </c>
      <c r="BZ24" s="3" t="e">
        <f>'Power Calculator'!#REF!</f>
        <v>#REF!</v>
      </c>
      <c r="CA24" s="3" t="e">
        <f>'Power Calculator'!#REF!</f>
        <v>#REF!</v>
      </c>
      <c r="CB24" s="25" t="e">
        <f>IF(AND(CA24="Yes",#REF!&gt;0),(BH24-BY24-BZ24*#REF!),BY24)</f>
        <v>#REF!</v>
      </c>
      <c r="CC24" s="25" t="e">
        <f>IF(AND(CA24="Yes",#REF!&gt;0),BH24-BY24,BY24+BZ24*#REF!)</f>
        <v>#REF!</v>
      </c>
      <c r="CD24" s="25" t="e">
        <f>MAX(BQ24,BW24,CC24,BK24)-IF(MIN(BP24,IF(#REF!&gt;0,BV24,1000),IF(#REF!&gt;0,CB24,1000))&lt;1,1,MIN(BP24,IF(#REF!&gt;0,BV24,1000),IF(#REF!&gt;0,CB24,1000)))</f>
        <v>#REF!</v>
      </c>
      <c r="CE24" s="25" t="e">
        <f>IF(BN24=0.5,#REF!,0)+IF(BT24=0.5,#REF!,0)+IF(BZ24=0.5,#REF!,0)</f>
        <v>#REF!</v>
      </c>
      <c r="CF24" s="25" t="e">
        <f>IF(BN24=1,#REF!,0)+IF(BT24=1,#REF!,0)+IF(BZ24=1,#REF!,0)</f>
        <v>#REF!</v>
      </c>
      <c r="CG24" s="25" t="e">
        <f>IF(BN24=1.5,#REF!,0)+IF(BT24=1.5,#REF!,0)+IF(BZ24=1.5,#REF!,0)</f>
        <v>#REF!</v>
      </c>
      <c r="CH24" s="25" t="e">
        <f>IF(BN24=2,#REF!,0)+IF(BT24=2,#REF!,0)+IF(BZ24=2,#REF!,0)</f>
        <v>#REF!</v>
      </c>
      <c r="CI24" s="25" t="e">
        <f>IF(BN24=2.5,#REF!,0)+IF(BT24=2.5,#REF!,0)+IF(BZ24=2.5,#REF!,0)</f>
        <v>#REF!</v>
      </c>
      <c r="CJ24" s="25" t="e">
        <f>IF(BN24=3,#REF!,0)+IF(BT24=3,#REF!,0)+IF(BZ24=3,#REF!,0)</f>
        <v>#REF!</v>
      </c>
      <c r="CK24" s="25" t="e">
        <f>IF(BN24=3.5,#REF!,0)+IF(BT24=3.5,#REF!,0)+IF(BZ24=3.5,#REF!,0)</f>
        <v>#REF!</v>
      </c>
      <c r="CL24" s="25" t="e">
        <f>IF(BN24=4,#REF!,0)+IF(BT24=4,#REF!,0)+IF(BZ24=4,#REF!,0)</f>
        <v>#REF!</v>
      </c>
      <c r="CM24" s="25" t="e">
        <f>IF(BN24=4.5,#REF!,0)+IF(BT24=4.5,#REF!,0)+IF(BZ24=4.5,#REF!,0)</f>
        <v>#REF!</v>
      </c>
      <c r="CN24" s="25" t="e">
        <f>IF(BN24=5,#REF!,0)+IF(BT24=5,#REF!,0)+IF(BZ24=5,#REF!,0)</f>
        <v>#REF!</v>
      </c>
      <c r="CO24" s="25" t="e">
        <f t="shared" si="11"/>
        <v>#REF!</v>
      </c>
      <c r="CP24" s="25" t="e">
        <f>(BI24="Yes")+1+IF(#REF!&gt;0,1,0)+IF(#REF!&gt;0,1,0)</f>
        <v>#REF!</v>
      </c>
      <c r="CQ24" s="25" t="e">
        <f t="shared" si="0"/>
        <v>#REF!</v>
      </c>
      <c r="CR24" s="17">
        <v>11.0007</v>
      </c>
      <c r="CS24" s="17">
        <f t="shared" si="12"/>
        <v>2.2935194006568099E-4</v>
      </c>
      <c r="CT24" s="17">
        <f t="shared" si="13"/>
        <v>9.9317223316913001E-5</v>
      </c>
      <c r="CU24" s="17">
        <f t="shared" si="14"/>
        <v>9.2977222222222507E-6</v>
      </c>
      <c r="CV24" s="17">
        <f t="shared" si="15"/>
        <v>1.0160794061302701E-5</v>
      </c>
      <c r="CW24" s="17">
        <f t="shared" si="16"/>
        <v>1.1472967432950201E-5</v>
      </c>
      <c r="CX24" s="17">
        <f t="shared" si="1"/>
        <v>1.2870485632183901E-5</v>
      </c>
      <c r="CY24" s="17">
        <f t="shared" si="17"/>
        <v>1.4268003831417601E-5</v>
      </c>
      <c r="CZ24" s="17">
        <f t="shared" si="2"/>
        <v>1.5645522030651349E-5</v>
      </c>
      <c r="DA24" s="17">
        <f t="shared" si="18"/>
        <v>1.70230402298851E-5</v>
      </c>
      <c r="DB24" s="17">
        <f t="shared" si="3"/>
        <v>2.4003992337164748E-5</v>
      </c>
      <c r="DC24" s="17">
        <f t="shared" si="19"/>
        <v>3.0984944444444397E-5</v>
      </c>
      <c r="DD24" s="17">
        <f t="shared" si="4"/>
        <v>3.1063166666666644E-5</v>
      </c>
      <c r="DE24" s="17">
        <f t="shared" si="20"/>
        <v>3.1141388888888898E-5</v>
      </c>
      <c r="DG24" s="6"/>
      <c r="DH24" s="12" t="e">
        <f>IF(BF24&gt;0,CQ24*1200+DF24+BB!DX24,0.5)</f>
        <v>#REF!</v>
      </c>
      <c r="DI24" s="6"/>
    </row>
    <row r="25" spans="57:113" hidden="1">
      <c r="BE25" s="15"/>
      <c r="BF25" s="3" t="e">
        <f>'Power Calculator'!#REF!</f>
        <v>#REF!</v>
      </c>
      <c r="BG25" s="3" t="e">
        <f>'Power Calculator'!#REF!</f>
        <v>#REF!</v>
      </c>
      <c r="BH25" s="3" t="e">
        <f>'Power Calculator'!#REF!</f>
        <v>#REF!</v>
      </c>
      <c r="BI25" s="3" t="e">
        <f>'Power Calculator'!#REF!</f>
        <v>#REF!</v>
      </c>
      <c r="BJ25" s="20" t="e">
        <f t="shared" si="5"/>
        <v>#REF!</v>
      </c>
      <c r="BK25" s="20" t="e">
        <f t="shared" si="6"/>
        <v>#REF!</v>
      </c>
      <c r="BL25" s="20"/>
      <c r="BM25" s="3" t="e">
        <f>'Power Calculator'!#REF!</f>
        <v>#REF!</v>
      </c>
      <c r="BN25" s="3" t="e">
        <f>'Power Calculator'!#REF!</f>
        <v>#REF!</v>
      </c>
      <c r="BO25" s="3" t="e">
        <f>'Power Calculator'!#REF!</f>
        <v>#REF!</v>
      </c>
      <c r="BP25" s="20" t="e">
        <f>IF(BO25="Yes",IF((BH25-BM25-BN25*#REF!)&gt;2,BH25-BM25-BN25*#REF!,2),BM25)</f>
        <v>#REF!</v>
      </c>
      <c r="BQ25" s="20" t="e">
        <f>IF(BO25="Yes",BH25,BM25+BN25*#REF!)</f>
        <v>#REF!</v>
      </c>
      <c r="BR25" s="20"/>
      <c r="BS25" s="3" t="e">
        <f>'Power Calculator'!#REF!</f>
        <v>#REF!</v>
      </c>
      <c r="BT25" s="3" t="e">
        <f>'Power Calculator'!#REF!</f>
        <v>#REF!</v>
      </c>
      <c r="BU25" s="3" t="e">
        <f>'Power Calculator'!#REF!</f>
        <v>#REF!</v>
      </c>
      <c r="BV25" s="20" t="e">
        <f>IF(AND(BU25="Yes",#REF!&gt;0),(BH25-BS25-BT25*#REF!),BS25)</f>
        <v>#REF!</v>
      </c>
      <c r="BW25" s="20" t="e">
        <f>IF(AND(BU25="Yes",#REF!&gt;0),BH25-BS25,BS25+BT25*#REF!)</f>
        <v>#REF!</v>
      </c>
      <c r="BX25" s="20"/>
      <c r="BY25" s="3" t="e">
        <f>'Power Calculator'!#REF!</f>
        <v>#REF!</v>
      </c>
      <c r="BZ25" s="3" t="e">
        <f>'Power Calculator'!#REF!</f>
        <v>#REF!</v>
      </c>
      <c r="CA25" s="3" t="e">
        <f>'Power Calculator'!#REF!</f>
        <v>#REF!</v>
      </c>
      <c r="CB25" s="25" t="e">
        <f>IF(AND(CA25="Yes",#REF!&gt;0),(BH25-BY25-BZ25*#REF!),BY25)</f>
        <v>#REF!</v>
      </c>
      <c r="CC25" s="25" t="e">
        <f>IF(AND(CA25="Yes",#REF!&gt;0),BH25-BY25,BY25+BZ25*#REF!)</f>
        <v>#REF!</v>
      </c>
      <c r="CD25" s="25" t="e">
        <f>MAX(BQ25,BW25,CC25,BK25)-IF(MIN(BP25,IF(#REF!&gt;0,BV25,1000),IF(#REF!&gt;0,CB25,1000))&lt;1,1,MIN(BP25,IF(#REF!&gt;0,BV25,1000),IF(#REF!&gt;0,CB25,1000)))</f>
        <v>#REF!</v>
      </c>
      <c r="CE25" s="25" t="e">
        <f>IF(BN25=0.5,#REF!,0)+IF(BT25=0.5,#REF!,0)+IF(BZ25=0.5,#REF!,0)</f>
        <v>#REF!</v>
      </c>
      <c r="CF25" s="25" t="e">
        <f>IF(BN25=1,#REF!,0)+IF(BT25=1,#REF!,0)+IF(BZ25=1,#REF!,0)</f>
        <v>#REF!</v>
      </c>
      <c r="CG25" s="25" t="e">
        <f>IF(BN25=1.5,#REF!,0)+IF(BT25=1.5,#REF!,0)+IF(BZ25=1.5,#REF!,0)</f>
        <v>#REF!</v>
      </c>
      <c r="CH25" s="25" t="e">
        <f>IF(BN25=2,#REF!,0)+IF(BT25=2,#REF!,0)+IF(BZ25=2,#REF!,0)</f>
        <v>#REF!</v>
      </c>
      <c r="CI25" s="25" t="e">
        <f>IF(BN25=2.5,#REF!,0)+IF(BT25=2.5,#REF!,0)+IF(BZ25=2.5,#REF!,0)</f>
        <v>#REF!</v>
      </c>
      <c r="CJ25" s="25" t="e">
        <f>IF(BN25=3,#REF!,0)+IF(BT25=3,#REF!,0)+IF(BZ25=3,#REF!,0)</f>
        <v>#REF!</v>
      </c>
      <c r="CK25" s="25" t="e">
        <f>IF(BN25=3.5,#REF!,0)+IF(BT25=3.5,#REF!,0)+IF(BZ25=3.5,#REF!,0)</f>
        <v>#REF!</v>
      </c>
      <c r="CL25" s="25" t="e">
        <f>IF(BN25=4,#REF!,0)+IF(BT25=4,#REF!,0)+IF(BZ25=4,#REF!,0)</f>
        <v>#REF!</v>
      </c>
      <c r="CM25" s="25" t="e">
        <f>IF(BN25=4.5,#REF!,0)+IF(BT25=4.5,#REF!,0)+IF(BZ25=4.5,#REF!,0)</f>
        <v>#REF!</v>
      </c>
      <c r="CN25" s="25" t="e">
        <f>IF(BN25=5,#REF!,0)+IF(BT25=5,#REF!,0)+IF(BZ25=5,#REF!,0)</f>
        <v>#REF!</v>
      </c>
      <c r="CO25" s="25" t="e">
        <f t="shared" si="11"/>
        <v>#REF!</v>
      </c>
      <c r="CP25" s="25" t="e">
        <f>(BI25="Yes")+1+IF(#REF!&gt;0,1,0)+IF(#REF!&gt;0,1,0)</f>
        <v>#REF!</v>
      </c>
      <c r="CQ25" s="25" t="e">
        <f t="shared" si="0"/>
        <v>#REF!</v>
      </c>
      <c r="CR25" s="17">
        <v>12.0007</v>
      </c>
      <c r="CS25" s="17">
        <f t="shared" si="12"/>
        <v>2.2935194006568099E-4</v>
      </c>
      <c r="CT25" s="17">
        <f t="shared" si="13"/>
        <v>9.9317223316913001E-5</v>
      </c>
      <c r="CU25" s="17">
        <f t="shared" si="14"/>
        <v>9.2977222222222507E-6</v>
      </c>
      <c r="CV25" s="17">
        <f t="shared" si="15"/>
        <v>1.0160794061302701E-5</v>
      </c>
      <c r="CW25" s="17">
        <f t="shared" si="16"/>
        <v>1.1472967432950201E-5</v>
      </c>
      <c r="CX25" s="17">
        <f t="shared" si="1"/>
        <v>1.2870485632183901E-5</v>
      </c>
      <c r="CY25" s="17">
        <f t="shared" si="17"/>
        <v>1.4268003831417601E-5</v>
      </c>
      <c r="CZ25" s="17">
        <f t="shared" si="2"/>
        <v>1.5645522030651349E-5</v>
      </c>
      <c r="DA25" s="17">
        <f t="shared" si="18"/>
        <v>1.70230402298851E-5</v>
      </c>
      <c r="DB25" s="17">
        <f t="shared" si="3"/>
        <v>2.4003992337164748E-5</v>
      </c>
      <c r="DC25" s="17">
        <f t="shared" si="19"/>
        <v>3.0984944444444397E-5</v>
      </c>
      <c r="DD25" s="17">
        <f t="shared" si="4"/>
        <v>3.1063166666666644E-5</v>
      </c>
      <c r="DE25" s="17">
        <f t="shared" si="20"/>
        <v>3.1141388888888898E-5</v>
      </c>
      <c r="DG25" s="6"/>
      <c r="DH25" s="12" t="e">
        <f>IF(BF25&gt;0,CQ25*1200+DF25+BB!DX25,0.5)</f>
        <v>#REF!</v>
      </c>
      <c r="DI25" s="6"/>
    </row>
    <row r="26" spans="57:113" hidden="1">
      <c r="BE26" s="15"/>
      <c r="BF26" s="3" t="e">
        <f>'Power Calculator'!#REF!</f>
        <v>#REF!</v>
      </c>
      <c r="BG26" s="3" t="e">
        <f>'Power Calculator'!#REF!</f>
        <v>#REF!</v>
      </c>
      <c r="BH26" s="3" t="e">
        <f>'Power Calculator'!#REF!</f>
        <v>#REF!</v>
      </c>
      <c r="BI26" s="3" t="e">
        <f>'Power Calculator'!#REF!</f>
        <v>#REF!</v>
      </c>
      <c r="BJ26" s="20" t="e">
        <f t="shared" si="5"/>
        <v>#REF!</v>
      </c>
      <c r="BK26" s="20" t="e">
        <f t="shared" si="6"/>
        <v>#REF!</v>
      </c>
      <c r="BL26" s="20"/>
      <c r="BM26" s="3" t="e">
        <f>'Power Calculator'!#REF!</f>
        <v>#REF!</v>
      </c>
      <c r="BN26" s="3" t="e">
        <f>'Power Calculator'!#REF!</f>
        <v>#REF!</v>
      </c>
      <c r="BO26" s="3" t="e">
        <f>'Power Calculator'!#REF!</f>
        <v>#REF!</v>
      </c>
      <c r="BP26" s="20" t="e">
        <f>IF(BO26="Yes",IF((BH26-BM26-BN26*#REF!)&gt;2,BH26-BM26-BN26*#REF!,2),BM26)</f>
        <v>#REF!</v>
      </c>
      <c r="BQ26" s="20" t="e">
        <f>IF(BO26="Yes",BH26,BM26+BN26*#REF!)</f>
        <v>#REF!</v>
      </c>
      <c r="BR26" s="20"/>
      <c r="BS26" s="3" t="e">
        <f>'Power Calculator'!#REF!</f>
        <v>#REF!</v>
      </c>
      <c r="BT26" s="3" t="e">
        <f>'Power Calculator'!#REF!</f>
        <v>#REF!</v>
      </c>
      <c r="BU26" s="3" t="e">
        <f>'Power Calculator'!#REF!</f>
        <v>#REF!</v>
      </c>
      <c r="BV26" s="20" t="e">
        <f>IF(AND(BU26="Yes",#REF!&gt;0),(BH26-BS26-BT26*#REF!),BS26)</f>
        <v>#REF!</v>
      </c>
      <c r="BW26" s="20" t="e">
        <f>IF(AND(BU26="Yes",#REF!&gt;0),BH26-BS26,BS26+BT26*#REF!)</f>
        <v>#REF!</v>
      </c>
      <c r="BX26" s="20"/>
      <c r="BY26" s="3" t="e">
        <f>'Power Calculator'!#REF!</f>
        <v>#REF!</v>
      </c>
      <c r="BZ26" s="3" t="e">
        <f>'Power Calculator'!#REF!</f>
        <v>#REF!</v>
      </c>
      <c r="CA26" s="3" t="e">
        <f>'Power Calculator'!#REF!</f>
        <v>#REF!</v>
      </c>
      <c r="CB26" s="25" t="e">
        <f>IF(AND(CA26="Yes",#REF!&gt;0),(BH26-BY26-BZ26*#REF!),BY26)</f>
        <v>#REF!</v>
      </c>
      <c r="CC26" s="25" t="e">
        <f>IF(AND(CA26="Yes",#REF!&gt;0),BH26-BY26,BY26+BZ26*#REF!)</f>
        <v>#REF!</v>
      </c>
      <c r="CD26" s="25" t="e">
        <f>MAX(BQ26,BW26,CC26,BK26)-IF(MIN(BP26,IF(#REF!&gt;0,BV26,1000),IF(#REF!&gt;0,CB26,1000))&lt;1,1,MIN(BP26,IF(#REF!&gt;0,BV26,1000),IF(#REF!&gt;0,CB26,1000)))</f>
        <v>#REF!</v>
      </c>
      <c r="CE26" s="25" t="e">
        <f>IF(BN26=0.5,#REF!,0)+IF(BT26=0.5,#REF!,0)+IF(BZ26=0.5,#REF!,0)</f>
        <v>#REF!</v>
      </c>
      <c r="CF26" s="25" t="e">
        <f>IF(BN26=1,#REF!,0)+IF(BT26=1,#REF!,0)+IF(BZ26=1,#REF!,0)</f>
        <v>#REF!</v>
      </c>
      <c r="CG26" s="25" t="e">
        <f>IF(BN26=1.5,#REF!,0)+IF(BT26=1.5,#REF!,0)+IF(BZ26=1.5,#REF!,0)</f>
        <v>#REF!</v>
      </c>
      <c r="CH26" s="25" t="e">
        <f>IF(BN26=2,#REF!,0)+IF(BT26=2,#REF!,0)+IF(BZ26=2,#REF!,0)</f>
        <v>#REF!</v>
      </c>
      <c r="CI26" s="25" t="e">
        <f>IF(BN26=2.5,#REF!,0)+IF(BT26=2.5,#REF!,0)+IF(BZ26=2.5,#REF!,0)</f>
        <v>#REF!</v>
      </c>
      <c r="CJ26" s="25" t="e">
        <f>IF(BN26=3,#REF!,0)+IF(BT26=3,#REF!,0)+IF(BZ26=3,#REF!,0)</f>
        <v>#REF!</v>
      </c>
      <c r="CK26" s="25" t="e">
        <f>IF(BN26=3.5,#REF!,0)+IF(BT26=3.5,#REF!,0)+IF(BZ26=3.5,#REF!,0)</f>
        <v>#REF!</v>
      </c>
      <c r="CL26" s="25" t="e">
        <f>IF(BN26=4,#REF!,0)+IF(BT26=4,#REF!,0)+IF(BZ26=4,#REF!,0)</f>
        <v>#REF!</v>
      </c>
      <c r="CM26" s="25" t="e">
        <f>IF(BN26=4.5,#REF!,0)+IF(BT26=4.5,#REF!,0)+IF(BZ26=4.5,#REF!,0)</f>
        <v>#REF!</v>
      </c>
      <c r="CN26" s="25" t="e">
        <f>IF(BN26=5,#REF!,0)+IF(BT26=5,#REF!,0)+IF(BZ26=5,#REF!,0)</f>
        <v>#REF!</v>
      </c>
      <c r="CO26" s="25" t="e">
        <f t="shared" si="11"/>
        <v>#REF!</v>
      </c>
      <c r="CP26" s="25" t="e">
        <f>(BI26="Yes")+1+IF(#REF!&gt;0,1,0)+IF(#REF!&gt;0,1,0)</f>
        <v>#REF!</v>
      </c>
      <c r="CQ26" s="25" t="e">
        <f t="shared" si="0"/>
        <v>#REF!</v>
      </c>
      <c r="CR26" s="17">
        <v>13.0007</v>
      </c>
      <c r="CS26" s="17">
        <f t="shared" si="12"/>
        <v>2.2935194006568099E-4</v>
      </c>
      <c r="CT26" s="17">
        <f t="shared" si="13"/>
        <v>9.9317223316913001E-5</v>
      </c>
      <c r="CU26" s="17">
        <f t="shared" si="14"/>
        <v>9.2977222222222507E-6</v>
      </c>
      <c r="CV26" s="17">
        <f t="shared" si="15"/>
        <v>1.0160794061302701E-5</v>
      </c>
      <c r="CW26" s="17">
        <f t="shared" si="16"/>
        <v>1.1472967432950201E-5</v>
      </c>
      <c r="CX26" s="17">
        <f t="shared" si="1"/>
        <v>1.2870485632183901E-5</v>
      </c>
      <c r="CY26" s="17">
        <f t="shared" si="17"/>
        <v>1.4268003831417601E-5</v>
      </c>
      <c r="CZ26" s="17">
        <f t="shared" si="2"/>
        <v>1.5645522030651349E-5</v>
      </c>
      <c r="DA26" s="17">
        <f t="shared" si="18"/>
        <v>1.70230402298851E-5</v>
      </c>
      <c r="DB26" s="17">
        <f t="shared" si="3"/>
        <v>2.4003992337164748E-5</v>
      </c>
      <c r="DC26" s="17">
        <f t="shared" si="19"/>
        <v>3.0984944444444397E-5</v>
      </c>
      <c r="DD26" s="17">
        <f t="shared" si="4"/>
        <v>3.1063166666666644E-5</v>
      </c>
      <c r="DE26" s="17">
        <f t="shared" si="20"/>
        <v>3.1141388888888898E-5</v>
      </c>
      <c r="DG26" s="6"/>
      <c r="DH26" s="12" t="e">
        <f>IF(BF26&gt;0,CQ26*1200+DF26+BB!DX26,0.5)</f>
        <v>#REF!</v>
      </c>
      <c r="DI26" s="6"/>
    </row>
    <row r="27" spans="57:113">
      <c r="BE27" s="15"/>
      <c r="BF27" s="15"/>
      <c r="BG27" s="15"/>
      <c r="BH27" s="15"/>
      <c r="BI27" s="15"/>
      <c r="BJ27" s="21"/>
      <c r="BK27" s="21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6"/>
      <c r="DG27" s="6"/>
      <c r="DH27" s="6"/>
      <c r="DI27" s="6"/>
    </row>
    <row r="28" spans="57:113">
      <c r="BE28" s="15"/>
      <c r="BF28" s="15"/>
      <c r="BG28" s="15"/>
      <c r="BH28" s="15"/>
      <c r="BI28" s="15"/>
      <c r="BJ28" s="21"/>
      <c r="BK28" s="21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6"/>
      <c r="CB28" s="17">
        <v>2</v>
      </c>
      <c r="DG28" s="6"/>
      <c r="DH28" s="6"/>
      <c r="DI28" s="6"/>
    </row>
    <row r="29" spans="57:113" hidden="1">
      <c r="BE29" s="2"/>
      <c r="BF29" s="2"/>
      <c r="BG29" s="2"/>
      <c r="BH29" s="2"/>
      <c r="BI29" s="2"/>
      <c r="BJ29" s="21"/>
      <c r="BK29" s="21"/>
      <c r="BL29" s="21"/>
      <c r="BM29" s="2"/>
      <c r="BN29" s="2"/>
      <c r="BO29" s="2"/>
      <c r="BP29" s="21"/>
      <c r="BQ29" s="21"/>
      <c r="BR29" s="21"/>
      <c r="BS29" s="2"/>
      <c r="BT29" s="2"/>
      <c r="BU29" s="2"/>
      <c r="BV29" s="21"/>
      <c r="BW29" s="21"/>
      <c r="BX29" s="21"/>
      <c r="BY29" s="2"/>
      <c r="BZ29" s="2"/>
    </row>
    <row r="30" spans="57:113" hidden="1">
      <c r="BE30" s="2"/>
      <c r="BF30" s="2"/>
      <c r="BG30" s="2"/>
      <c r="BH30" s="2"/>
      <c r="BI30" s="2"/>
      <c r="BJ30" s="21"/>
      <c r="BK30" s="21"/>
      <c r="BL30" s="21"/>
      <c r="BM30" s="2"/>
      <c r="BN30" s="2"/>
      <c r="BO30" s="2"/>
      <c r="BP30" s="21"/>
      <c r="BQ30" s="21"/>
      <c r="BR30" s="21"/>
      <c r="BS30" s="2"/>
      <c r="BT30" s="2"/>
      <c r="BU30" s="2"/>
      <c r="BV30" s="21"/>
      <c r="BW30" s="21"/>
      <c r="BX30" s="21"/>
      <c r="BY30" s="2"/>
      <c r="BZ30" s="2"/>
    </row>
    <row r="31" spans="57:113" hidden="1">
      <c r="BE31" s="2"/>
      <c r="BF31" s="2"/>
      <c r="BG31" s="2"/>
      <c r="BH31" s="2"/>
      <c r="BI31" s="2"/>
      <c r="BJ31" s="21"/>
      <c r="BK31" s="21"/>
      <c r="BL31" s="21"/>
      <c r="BM31" s="2"/>
      <c r="BN31" s="2"/>
      <c r="BO31" s="2"/>
      <c r="BP31" s="21"/>
      <c r="BQ31" s="21"/>
      <c r="BR31" s="21"/>
      <c r="BS31" s="2"/>
      <c r="BT31" s="2"/>
      <c r="BU31" s="2"/>
      <c r="BV31" s="21"/>
      <c r="BW31" s="21"/>
      <c r="BX31" s="21"/>
      <c r="BY31" s="2"/>
      <c r="BZ31" s="2"/>
    </row>
    <row r="32" spans="57:113" hidden="1">
      <c r="BE32" s="2"/>
      <c r="BF32" s="2"/>
      <c r="BG32" s="2"/>
      <c r="BH32" s="2"/>
      <c r="BI32" s="2"/>
      <c r="BJ32" s="21"/>
      <c r="BK32" s="21"/>
      <c r="BL32" s="21"/>
      <c r="BM32" s="2"/>
      <c r="BN32" s="2"/>
      <c r="BO32" s="2"/>
      <c r="BP32" s="21"/>
      <c r="BQ32" s="21"/>
      <c r="BR32" s="21"/>
      <c r="BS32" s="2"/>
      <c r="BT32" s="2"/>
      <c r="BU32" s="2"/>
      <c r="BV32" s="21"/>
      <c r="BW32" s="21"/>
      <c r="BX32" s="21"/>
      <c r="BY32" s="2"/>
      <c r="BZ32" s="2"/>
    </row>
    <row r="33" spans="57:78" hidden="1">
      <c r="BE33" s="2"/>
      <c r="BF33" s="2"/>
      <c r="BG33" s="2"/>
      <c r="BH33" s="2"/>
      <c r="BI33" s="2"/>
      <c r="BJ33" s="21"/>
      <c r="BK33" s="21"/>
      <c r="BL33" s="21"/>
      <c r="BM33" s="2"/>
      <c r="BN33" s="2"/>
      <c r="BO33" s="2"/>
      <c r="BP33" s="21"/>
      <c r="BQ33" s="21"/>
      <c r="BR33" s="21"/>
      <c r="BS33" s="2"/>
      <c r="BT33" s="2"/>
      <c r="BU33" s="2"/>
      <c r="BV33" s="21"/>
      <c r="BW33" s="21"/>
      <c r="BX33" s="21"/>
      <c r="BY33" s="2"/>
      <c r="BZ33" s="2"/>
    </row>
    <row r="34" spans="57:78" hidden="1">
      <c r="BE34" s="2"/>
      <c r="BF34" s="2"/>
      <c r="BG34" s="2"/>
      <c r="BH34" s="2"/>
      <c r="BI34" s="2"/>
      <c r="BJ34" s="21"/>
      <c r="BK34" s="21"/>
      <c r="BL34" s="21"/>
      <c r="BM34" s="2"/>
      <c r="BN34" s="2"/>
      <c r="BO34" s="2"/>
      <c r="BP34" s="21"/>
      <c r="BQ34" s="21"/>
      <c r="BR34" s="21"/>
      <c r="BS34" s="2"/>
      <c r="BT34" s="2"/>
      <c r="BU34" s="2"/>
      <c r="BV34" s="21"/>
      <c r="BW34" s="21"/>
      <c r="BX34" s="21"/>
      <c r="BY34" s="2"/>
      <c r="BZ34" s="2"/>
    </row>
    <row r="35" spans="57:78" hidden="1">
      <c r="BE35" s="2"/>
      <c r="BF35" s="2"/>
      <c r="BG35" s="2"/>
      <c r="BH35" s="2"/>
      <c r="BI35" s="2"/>
      <c r="BJ35" s="21"/>
      <c r="BK35" s="21"/>
      <c r="BL35" s="21"/>
      <c r="BM35" s="2"/>
      <c r="BN35" s="2"/>
      <c r="BO35" s="2"/>
      <c r="BP35" s="21"/>
      <c r="BQ35" s="21"/>
      <c r="BR35" s="21"/>
      <c r="BS35" s="2"/>
      <c r="BT35" s="2"/>
      <c r="BU35" s="2"/>
      <c r="BV35" s="21"/>
      <c r="BW35" s="21"/>
      <c r="BX35" s="21"/>
      <c r="BY35" s="2"/>
      <c r="BZ35" s="2"/>
    </row>
    <row r="36" spans="57:78" hidden="1">
      <c r="BE36" s="2"/>
      <c r="BF36" s="2"/>
      <c r="BG36" s="2"/>
      <c r="BH36" s="2"/>
      <c r="BI36" s="2"/>
      <c r="BJ36" s="21"/>
      <c r="BK36" s="21"/>
      <c r="BL36" s="21"/>
      <c r="BM36" s="2"/>
      <c r="BN36" s="2"/>
      <c r="BO36" s="2"/>
      <c r="BP36" s="21"/>
      <c r="BQ36" s="21"/>
      <c r="BR36" s="21"/>
      <c r="BS36" s="2"/>
      <c r="BT36" s="2"/>
      <c r="BU36" s="2"/>
      <c r="BV36" s="21"/>
      <c r="BW36" s="21"/>
      <c r="BX36" s="21"/>
      <c r="BY36" s="2"/>
      <c r="BZ36" s="2"/>
    </row>
    <row r="37" spans="57:78" hidden="1">
      <c r="BE37" s="2"/>
      <c r="BF37" s="2"/>
      <c r="BG37" s="2"/>
      <c r="BH37" s="2"/>
      <c r="BI37" s="2"/>
      <c r="BJ37" s="21"/>
      <c r="BK37" s="21"/>
      <c r="BL37" s="21"/>
      <c r="BM37" s="2"/>
      <c r="BN37" s="2"/>
      <c r="BO37" s="2"/>
      <c r="BP37" s="21"/>
      <c r="BQ37" s="21"/>
      <c r="BR37" s="21"/>
      <c r="BS37" s="2"/>
      <c r="BT37" s="2"/>
      <c r="BU37" s="2"/>
      <c r="BV37" s="21"/>
      <c r="BW37" s="21"/>
      <c r="BX37" s="21"/>
      <c r="BY37" s="2"/>
      <c r="BZ37" s="2"/>
    </row>
  </sheetData>
  <mergeCells count="8">
    <mergeCell ref="BF6:CD7"/>
    <mergeCell ref="BF8:CC8"/>
    <mergeCell ref="BF11:BI11"/>
    <mergeCell ref="BJ11:BK11"/>
    <mergeCell ref="BF10:CA10"/>
    <mergeCell ref="BL11:BO11"/>
    <mergeCell ref="BR11:BU11"/>
    <mergeCell ref="BX11:CA11"/>
  </mergeCells>
  <conditionalFormatting sqref="BM13:BO17">
    <cfRule type="expression" dxfId="2" priority="16">
      <formula>OR($BS13&lt;1,NOT(ISNUMBER($BF13)))</formula>
    </cfRule>
  </conditionalFormatting>
  <conditionalFormatting sqref="BS13:BU17">
    <cfRule type="expression" dxfId="1" priority="5">
      <formula>OR($BR13&lt;1,NOT(ISNUMBER($BF13)))</formula>
    </cfRule>
  </conditionalFormatting>
  <conditionalFormatting sqref="BY13:CA17">
    <cfRule type="expression" dxfId="0" priority="1">
      <formula>OR($BX13&lt;1,NOT(ISNUMBER($BF13)))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 xr:uid="{00000000-0002-0000-0100-000001000000}">
          <x14:formula1>
            <xm:f>Lists!$C$3:$C$23</xm:f>
          </x14:formula1>
          <xm:sqref>BG13:BG17</xm:sqref>
        </x14:dataValidation>
        <x14:dataValidation type="list" allowBlank="1" showInputMessage="1" showErrorMessage="1" xr:uid="{00000000-0002-0000-0100-000003000000}">
          <x14:formula1>
            <xm:f>Lists!$D$3:$D$66</xm:f>
          </x14:formula1>
          <xm:sqref>BM13:BM17 BS13:BS17</xm:sqref>
        </x14:dataValidation>
        <x14:dataValidation type="list" allowBlank="1" showInputMessage="1" showErrorMessage="1" xr:uid="{00000000-0002-0000-0100-000004000000}">
          <x14:formula1>
            <xm:f>Lists!$A$3:$A$12</xm:f>
          </x14:formula1>
          <xm:sqref>BN13:BN17 BT13:BT17</xm:sqref>
        </x14:dataValidation>
        <x14:dataValidation type="list" allowBlank="1" showInputMessage="1" showErrorMessage="1" xr:uid="{00000000-0002-0000-0100-000005000000}">
          <x14:formula1>
            <xm:f>Lists!$B$3:$B$26</xm:f>
          </x14:formula1>
          <xm:sqref>BL13:BL17</xm:sqref>
        </x14:dataValidation>
        <x14:dataValidation type="list" allowBlank="1" showInputMessage="1" showErrorMessage="1" xr:uid="{00000000-0002-0000-0100-000006000000}">
          <x14:formula1>
            <xm:f>Lists!$B$2:$B$26</xm:f>
          </x14:formula1>
          <xm:sqref>BR13:BR17</xm:sqref>
        </x14:dataValidation>
        <x14:dataValidation type="list" allowBlank="1" showInputMessage="1" showErrorMessage="1" xr:uid="{00000000-0002-0000-0100-000000000000}">
          <x14:formula1>
            <xm:f>Lists!$F$3:$F$13</xm:f>
          </x14:formula1>
          <xm:sqref>BF13:BF17</xm:sqref>
        </x14:dataValidation>
        <x14:dataValidation type="list" allowBlank="1" showInputMessage="1" showErrorMessage="1" xr:uid="{00000000-0002-0000-0100-000002000000}">
          <x14:formula1>
            <xm:f>Lists!$E$3:$E$4</xm:f>
          </x14:formula1>
          <xm:sqref>BI13:BI17 BO13:BO17 BU13:BU17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K1:FW28"/>
  <sheetViews>
    <sheetView topLeftCell="DC8" workbookViewId="0">
      <selection activeCell="DZ13" sqref="DZ13"/>
    </sheetView>
  </sheetViews>
  <sheetFormatPr defaultColWidth="0" defaultRowHeight="15" zeroHeight="1"/>
  <cols>
    <col min="1" max="62" width="9.140625" hidden="1" customWidth="1"/>
    <col min="63" max="63" width="5.85546875" customWidth="1"/>
    <col min="64" max="64" width="10.28515625" customWidth="1"/>
    <col min="65" max="66" width="9.140625" customWidth="1"/>
    <col min="67" max="67" width="9.140625" style="17" customWidth="1"/>
    <col min="68" max="68" width="9.140625" customWidth="1"/>
    <col min="69" max="71" width="9.140625" style="17" customWidth="1"/>
    <col min="72" max="74" width="9.140625" customWidth="1"/>
    <col min="75" max="75" width="11" customWidth="1"/>
    <col min="76" max="77" width="9.140625" style="17" customWidth="1"/>
    <col min="78" max="80" width="9.140625" customWidth="1"/>
    <col min="81" max="81" width="10.42578125" customWidth="1"/>
    <col min="82" max="83" width="9.140625" style="17" customWidth="1"/>
    <col min="84" max="86" width="9.140625" customWidth="1"/>
    <col min="87" max="87" width="10.85546875" customWidth="1"/>
    <col min="88" max="104" width="9.140625" style="21" customWidth="1"/>
    <col min="105" max="106" width="12.85546875" style="21" customWidth="1"/>
    <col min="107" max="122" width="9.140625" style="17" customWidth="1"/>
    <col min="123" max="123" width="26.7109375" style="17" customWidth="1"/>
    <col min="124" max="124" width="10.85546875" style="17" customWidth="1"/>
    <col min="125" max="125" width="10.7109375" style="17" customWidth="1"/>
    <col min="126" max="128" width="9.140625" style="17" customWidth="1"/>
    <col min="129" max="129" width="6.7109375" customWidth="1"/>
    <col min="130" max="130" width="21.28515625" customWidth="1"/>
    <col min="131" max="131" width="5.28515625" customWidth="1"/>
    <col min="132" max="133" width="0" hidden="1" customWidth="1"/>
    <col min="134" max="134" width="11.7109375" hidden="1" customWidth="1"/>
    <col min="135" max="136" width="0" hidden="1" customWidth="1"/>
    <col min="137" max="137" width="13" hidden="1" customWidth="1"/>
    <col min="138" max="140" width="0" hidden="1" customWidth="1"/>
    <col min="141" max="141" width="12" hidden="1" customWidth="1"/>
    <col min="142" max="144" width="0" hidden="1" customWidth="1"/>
    <col min="145" max="145" width="19.140625" hidden="1" customWidth="1"/>
    <col min="146" max="179" width="0" hidden="1" customWidth="1"/>
    <col min="180" max="500" width="9.140625" hidden="1" customWidth="1"/>
    <col min="501" max="16384" width="9.140625" hidden="1"/>
  </cols>
  <sheetData>
    <row r="1" spans="63:176" ht="13.5" customHeight="1">
      <c r="BK1" s="32"/>
      <c r="BO1"/>
      <c r="BQ1"/>
      <c r="BR1"/>
      <c r="BS1"/>
      <c r="BX1"/>
      <c r="BY1"/>
      <c r="CD1"/>
      <c r="CE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</row>
    <row r="2" spans="63:176">
      <c r="BK2" s="32"/>
      <c r="BO2"/>
      <c r="BQ2"/>
      <c r="BR2"/>
      <c r="BS2"/>
      <c r="BX2"/>
      <c r="BY2"/>
      <c r="CD2"/>
      <c r="CE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</row>
    <row r="3" spans="63:176">
      <c r="BK3" s="32"/>
      <c r="BO3"/>
      <c r="BQ3"/>
      <c r="BR3"/>
      <c r="BS3"/>
      <c r="BX3"/>
      <c r="BY3"/>
      <c r="CD3"/>
      <c r="CE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</row>
    <row r="4" spans="63:176" ht="36.75" customHeight="1">
      <c r="BK4" s="32"/>
      <c r="BO4"/>
      <c r="BQ4"/>
      <c r="BR4"/>
      <c r="BS4"/>
      <c r="BX4"/>
      <c r="BY4"/>
      <c r="CD4"/>
      <c r="CE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</row>
    <row r="5" spans="63:176">
      <c r="BK5" s="6"/>
      <c r="BL5" s="6"/>
      <c r="BM5" s="6"/>
      <c r="BN5" s="6"/>
      <c r="BP5" s="6"/>
      <c r="BT5" s="6"/>
      <c r="BU5" s="6"/>
      <c r="BV5" s="6"/>
      <c r="BW5" s="6"/>
      <c r="BZ5" s="6"/>
      <c r="CA5" s="6"/>
      <c r="CB5" s="6"/>
      <c r="CC5" s="6"/>
      <c r="CF5" s="6"/>
      <c r="CG5" s="6"/>
      <c r="CH5" s="6"/>
      <c r="CI5" s="6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T5" s="106"/>
      <c r="DU5" s="106"/>
      <c r="DV5" s="106"/>
      <c r="DW5" s="106"/>
      <c r="DX5" s="106"/>
      <c r="DY5" s="6"/>
      <c r="DZ5" s="6"/>
      <c r="EA5" s="6"/>
    </row>
    <row r="6" spans="63:176" ht="15" customHeight="1">
      <c r="BK6" s="6"/>
      <c r="BL6" s="242" t="s">
        <v>72</v>
      </c>
      <c r="BM6" s="243"/>
      <c r="BN6" s="243"/>
      <c r="BO6" s="243"/>
      <c r="BP6" s="243"/>
      <c r="BQ6" s="243"/>
      <c r="BR6" s="243"/>
      <c r="BS6" s="243"/>
      <c r="BT6" s="243"/>
      <c r="BU6" s="243"/>
      <c r="BV6" s="243"/>
      <c r="BW6" s="243"/>
      <c r="BX6" s="243"/>
      <c r="BY6" s="243"/>
      <c r="BZ6" s="243"/>
      <c r="CA6" s="243"/>
      <c r="CB6" s="243"/>
      <c r="CC6" s="243"/>
      <c r="CD6" s="243"/>
      <c r="CE6" s="243"/>
      <c r="CF6" s="243"/>
      <c r="CG6" s="243"/>
      <c r="CH6" s="243"/>
      <c r="CI6" s="243"/>
      <c r="CJ6" s="243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T6" s="106"/>
      <c r="DU6" s="106"/>
      <c r="DV6" s="106"/>
      <c r="DW6" s="106"/>
      <c r="DX6" s="106"/>
      <c r="DY6" s="6"/>
      <c r="DZ6" s="6"/>
      <c r="EA6" s="6"/>
    </row>
    <row r="7" spans="63:176">
      <c r="BK7" s="6"/>
      <c r="BL7" s="243"/>
      <c r="BM7" s="243"/>
      <c r="BN7" s="243"/>
      <c r="BO7" s="243"/>
      <c r="BP7" s="243"/>
      <c r="BQ7" s="243"/>
      <c r="BR7" s="243"/>
      <c r="BS7" s="243"/>
      <c r="BT7" s="243"/>
      <c r="BU7" s="243"/>
      <c r="BV7" s="243"/>
      <c r="BW7" s="243"/>
      <c r="BX7" s="243"/>
      <c r="BY7" s="243"/>
      <c r="BZ7" s="243"/>
      <c r="CA7" s="243"/>
      <c r="CB7" s="243"/>
      <c r="CC7" s="243"/>
      <c r="CD7" s="243"/>
      <c r="CE7" s="243"/>
      <c r="CF7" s="243"/>
      <c r="CG7" s="243"/>
      <c r="CH7" s="243"/>
      <c r="CI7" s="243"/>
      <c r="CJ7" s="243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T7" s="106"/>
      <c r="DU7" s="106"/>
      <c r="DV7" s="106"/>
      <c r="DW7" s="106"/>
      <c r="DX7" s="106"/>
      <c r="DY7" s="6"/>
      <c r="DZ7" s="6"/>
      <c r="EA7" s="6"/>
    </row>
    <row r="8" spans="63:176" ht="23.25">
      <c r="BK8" s="6"/>
      <c r="BL8" s="244" t="s">
        <v>109</v>
      </c>
      <c r="BM8" s="248"/>
      <c r="BN8" s="248"/>
      <c r="BO8" s="248"/>
      <c r="BP8" s="248"/>
      <c r="BQ8" s="248"/>
      <c r="BR8" s="248"/>
      <c r="BS8" s="248"/>
      <c r="BT8" s="248"/>
      <c r="BU8" s="248"/>
      <c r="BV8" s="248"/>
      <c r="BW8" s="248"/>
      <c r="BX8" s="248"/>
      <c r="BY8" s="248"/>
      <c r="BZ8" s="248"/>
      <c r="CA8" s="248"/>
      <c r="CB8" s="248"/>
      <c r="CC8" s="248"/>
      <c r="CD8" s="248"/>
      <c r="CE8" s="248"/>
      <c r="CF8" s="248"/>
      <c r="CG8" s="248"/>
      <c r="CH8" s="248"/>
      <c r="CI8" s="248"/>
      <c r="CJ8" s="18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T8" s="106"/>
      <c r="DU8" s="106"/>
      <c r="DV8" s="106"/>
      <c r="DW8" s="106"/>
      <c r="DX8" s="106"/>
      <c r="DY8" s="6"/>
      <c r="DZ8" s="6"/>
      <c r="EA8" s="6"/>
    </row>
    <row r="9" spans="63:176" ht="23.25">
      <c r="BK9" s="6"/>
      <c r="BL9" s="7"/>
      <c r="BM9" s="7"/>
      <c r="BN9" s="7"/>
      <c r="BO9" s="18"/>
      <c r="BP9" s="7"/>
      <c r="BQ9" s="18"/>
      <c r="BR9" s="18"/>
      <c r="BS9" s="18"/>
      <c r="BT9" s="7"/>
      <c r="BU9" s="7"/>
      <c r="BV9" s="7"/>
      <c r="BW9" s="7"/>
      <c r="BX9" s="18"/>
      <c r="BY9" s="18"/>
      <c r="BZ9" s="7"/>
      <c r="CA9" s="7"/>
      <c r="CB9" s="7"/>
      <c r="CC9" s="7"/>
      <c r="CD9" s="18"/>
      <c r="CE9" s="18"/>
      <c r="CF9" s="7"/>
      <c r="CG9" s="7"/>
      <c r="CH9" s="7"/>
      <c r="CI9" s="7"/>
      <c r="CJ9" s="18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T9" s="106"/>
      <c r="DU9" s="106"/>
      <c r="DV9" s="106"/>
      <c r="DW9" s="106"/>
      <c r="DX9" s="106"/>
      <c r="DY9" s="6"/>
      <c r="DZ9" s="6"/>
      <c r="EA9" s="6"/>
    </row>
    <row r="10" spans="63:176" ht="15.75">
      <c r="BK10" s="6"/>
      <c r="BL10" s="231" t="s">
        <v>74</v>
      </c>
      <c r="BM10" s="232"/>
      <c r="BN10" s="232"/>
      <c r="BO10" s="232"/>
      <c r="BP10" s="232"/>
      <c r="BQ10" s="232"/>
      <c r="BR10" s="232"/>
      <c r="BS10" s="232"/>
      <c r="BT10" s="232"/>
      <c r="BU10" s="232"/>
      <c r="BV10" s="232"/>
      <c r="BW10" s="232"/>
      <c r="BX10" s="232"/>
      <c r="BY10" s="232"/>
      <c r="BZ10" s="232"/>
      <c r="CA10" s="232"/>
      <c r="CB10" s="232"/>
      <c r="CC10" s="232"/>
      <c r="CD10" s="232"/>
      <c r="CE10" s="232"/>
      <c r="CF10" s="232"/>
      <c r="CG10" s="232"/>
      <c r="CH10" s="232"/>
      <c r="CI10" s="233"/>
      <c r="CJ10" s="18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T10" s="112" t="s">
        <v>110</v>
      </c>
      <c r="DU10" s="107"/>
      <c r="DV10" s="107"/>
      <c r="DW10" s="107"/>
      <c r="DX10" s="108"/>
      <c r="DY10" s="6"/>
      <c r="DZ10" s="9" t="s">
        <v>75</v>
      </c>
      <c r="EA10" s="6"/>
    </row>
    <row r="11" spans="63:176">
      <c r="BK11" s="6"/>
      <c r="BL11" s="227" t="s">
        <v>18</v>
      </c>
      <c r="BM11" s="228"/>
      <c r="BN11" s="228"/>
      <c r="BO11" s="228"/>
      <c r="BP11" s="236"/>
      <c r="BQ11" s="20" t="s">
        <v>76</v>
      </c>
      <c r="BR11" s="20"/>
      <c r="BS11" s="20"/>
      <c r="BT11" s="227" t="s">
        <v>19</v>
      </c>
      <c r="BU11" s="228"/>
      <c r="BV11" s="228"/>
      <c r="BW11" s="236"/>
      <c r="BX11" s="20"/>
      <c r="BY11" s="20"/>
      <c r="BZ11" s="227" t="s">
        <v>20</v>
      </c>
      <c r="CA11" s="228"/>
      <c r="CB11" s="228"/>
      <c r="CC11" s="236"/>
      <c r="CD11" s="20"/>
      <c r="CE11" s="20"/>
      <c r="CF11" s="227" t="s">
        <v>21</v>
      </c>
      <c r="CG11" s="228"/>
      <c r="CH11" s="228"/>
      <c r="CI11" s="236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T11" s="109"/>
      <c r="DU11" s="110"/>
      <c r="DV11" s="110"/>
      <c r="DW11" s="110"/>
      <c r="DX11" s="111"/>
      <c r="DY11" s="6"/>
      <c r="DZ11" s="10" t="s">
        <v>77</v>
      </c>
      <c r="EA11" s="6"/>
    </row>
    <row r="12" spans="63:176" ht="78" customHeight="1">
      <c r="BK12" s="6"/>
      <c r="BL12" s="13" t="s">
        <v>111</v>
      </c>
      <c r="BM12" s="13" t="s">
        <v>37</v>
      </c>
      <c r="BN12" s="13" t="s">
        <v>38</v>
      </c>
      <c r="BO12" s="26" t="s">
        <v>36</v>
      </c>
      <c r="BP12" s="13" t="s">
        <v>39</v>
      </c>
      <c r="BQ12" s="26" t="s">
        <v>112</v>
      </c>
      <c r="BR12" s="26" t="s">
        <v>113</v>
      </c>
      <c r="BS12" s="26" t="s">
        <v>114</v>
      </c>
      <c r="BT12" s="13" t="s">
        <v>41</v>
      </c>
      <c r="BU12" s="13" t="s">
        <v>42</v>
      </c>
      <c r="BV12" s="13" t="s">
        <v>40</v>
      </c>
      <c r="BW12" s="13" t="s">
        <v>43</v>
      </c>
      <c r="BX12" s="27" t="s">
        <v>78</v>
      </c>
      <c r="BY12" s="27" t="s">
        <v>79</v>
      </c>
      <c r="BZ12" s="13" t="s">
        <v>115</v>
      </c>
      <c r="CA12" s="13" t="s">
        <v>42</v>
      </c>
      <c r="CB12" s="13" t="s">
        <v>40</v>
      </c>
      <c r="CC12" s="13" t="s">
        <v>43</v>
      </c>
      <c r="CD12" s="27" t="s">
        <v>78</v>
      </c>
      <c r="CE12" s="27" t="s">
        <v>79</v>
      </c>
      <c r="CF12" s="13" t="s">
        <v>115</v>
      </c>
      <c r="CG12" s="13" t="s">
        <v>42</v>
      </c>
      <c r="CH12" s="13" t="s">
        <v>40</v>
      </c>
      <c r="CI12" s="13" t="s">
        <v>43</v>
      </c>
      <c r="CJ12" s="27" t="s">
        <v>78</v>
      </c>
      <c r="CK12" s="27" t="s">
        <v>79</v>
      </c>
      <c r="CL12" s="27" t="s">
        <v>116</v>
      </c>
      <c r="CM12" s="27" t="s">
        <v>80</v>
      </c>
      <c r="CN12" s="27" t="s">
        <v>117</v>
      </c>
      <c r="CO12" s="27" t="s">
        <v>82</v>
      </c>
      <c r="CP12" s="27" t="s">
        <v>118</v>
      </c>
      <c r="CQ12" s="27" t="s">
        <v>84</v>
      </c>
      <c r="CR12" s="27" t="s">
        <v>119</v>
      </c>
      <c r="CS12" s="27" t="s">
        <v>120</v>
      </c>
      <c r="CT12" s="27" t="s">
        <v>86</v>
      </c>
      <c r="CU12" s="27" t="s">
        <v>121</v>
      </c>
      <c r="CV12" s="27" t="s">
        <v>88</v>
      </c>
      <c r="CW12" s="27" t="s">
        <v>122</v>
      </c>
      <c r="CX12" s="27" t="s">
        <v>90</v>
      </c>
      <c r="CY12" s="27" t="s">
        <v>91</v>
      </c>
      <c r="CZ12" s="27" t="s">
        <v>92</v>
      </c>
      <c r="DA12" s="27" t="s">
        <v>93</v>
      </c>
      <c r="DB12" s="120" t="s">
        <v>123</v>
      </c>
      <c r="DC12" s="17" t="s">
        <v>94</v>
      </c>
      <c r="DD12" s="17" t="s">
        <v>124</v>
      </c>
      <c r="DE12" s="17" t="s">
        <v>125</v>
      </c>
      <c r="DF12" s="17" t="s">
        <v>126</v>
      </c>
      <c r="DG12" s="17" t="s">
        <v>127</v>
      </c>
      <c r="DH12" s="17" t="s">
        <v>99</v>
      </c>
      <c r="DI12" s="17" t="s">
        <v>128</v>
      </c>
      <c r="DJ12" s="17" t="s">
        <v>129</v>
      </c>
      <c r="DK12" s="17" t="s">
        <v>130</v>
      </c>
      <c r="DL12" s="17" t="s">
        <v>131</v>
      </c>
      <c r="DM12" s="17" t="s">
        <v>132</v>
      </c>
      <c r="DN12" s="17" t="s">
        <v>133</v>
      </c>
      <c r="DO12" s="17" t="s">
        <v>134</v>
      </c>
      <c r="DP12" s="17" t="s">
        <v>135</v>
      </c>
      <c r="DQ12" s="17" t="s">
        <v>92</v>
      </c>
      <c r="DR12" s="17" t="s">
        <v>98</v>
      </c>
      <c r="DS12" s="17" t="s">
        <v>108</v>
      </c>
      <c r="DT12" s="113" t="s">
        <v>136</v>
      </c>
      <c r="DU12" s="113" t="s">
        <v>137</v>
      </c>
      <c r="DV12" s="113" t="s">
        <v>138</v>
      </c>
      <c r="DW12" s="113" t="s">
        <v>139</v>
      </c>
      <c r="DX12" s="113" t="s">
        <v>140</v>
      </c>
      <c r="DY12" s="6"/>
      <c r="DZ12" s="11" t="s">
        <v>55</v>
      </c>
      <c r="EA12" s="6"/>
    </row>
    <row r="13" spans="63:176">
      <c r="BK13" s="6"/>
      <c r="BL13" s="3">
        <f>'Power Calculator'!C13</f>
        <v>0</v>
      </c>
      <c r="BM13" s="3">
        <f>'Power Calculator'!E13</f>
        <v>10</v>
      </c>
      <c r="BN13" s="3">
        <f>'Power Calculator'!F13</f>
        <v>50</v>
      </c>
      <c r="BO13" s="20"/>
      <c r="BP13" s="3" t="str">
        <f>'Power Calculator'!G13</f>
        <v>No</v>
      </c>
      <c r="BQ13" s="20">
        <v>2</v>
      </c>
      <c r="BR13" s="20">
        <v>2</v>
      </c>
      <c r="BS13" s="20">
        <f>FLOOR(MAX(7,CL13/2+1),1)</f>
        <v>7</v>
      </c>
      <c r="BT13" s="3">
        <f>'Power Calculator'!I13</f>
        <v>1</v>
      </c>
      <c r="BU13" s="3">
        <f>'Power Calculator'!J13</f>
        <v>2</v>
      </c>
      <c r="BV13" s="3">
        <f>'Power Calculator'!H13</f>
        <v>1</v>
      </c>
      <c r="BW13" s="3" t="str">
        <f>'Power Calculator'!K13</f>
        <v>No</v>
      </c>
      <c r="BX13" s="20">
        <f>IF(BW13="Yes",IF((BN13-BT13-BU13*BV13)&gt;2,BN13-BT13-BU13*BV13,2),BT13)</f>
        <v>1</v>
      </c>
      <c r="BY13" s="20">
        <f>IF(BW13="Yes",BN13,BT13+BU13*BV13)</f>
        <v>3</v>
      </c>
      <c r="BZ13" s="3">
        <f>'Power Calculator'!M13</f>
        <v>1</v>
      </c>
      <c r="CA13" s="3">
        <f>'Power Calculator'!N13</f>
        <v>2</v>
      </c>
      <c r="CB13" s="3">
        <f>'Power Calculator'!L13</f>
        <v>0</v>
      </c>
      <c r="CC13" s="3" t="str">
        <f>'Power Calculator'!O13</f>
        <v>No</v>
      </c>
      <c r="CD13" s="20">
        <f>IF(AND(CC13="Yes",CB13&gt;0),(BN13-BZ13-CA13*CB13),IF(CB13&gt;0,BZ13,0))</f>
        <v>0</v>
      </c>
      <c r="CE13" s="20">
        <f>IF(AND(CC13="Yes",CB13&gt;0),BN13-BZ13,IF(CB13&gt;0,BZ13+CA13*CB13,0))</f>
        <v>0</v>
      </c>
      <c r="CF13" s="3">
        <f>'Power Calculator'!Q13</f>
        <v>2</v>
      </c>
      <c r="CG13" s="3">
        <f>'Power Calculator'!R13</f>
        <v>3</v>
      </c>
      <c r="CH13" s="3">
        <f>'Power Calculator'!P13</f>
        <v>0</v>
      </c>
      <c r="CI13" s="3" t="str">
        <f>'Power Calculator'!V13</f>
        <v>25 min</v>
      </c>
      <c r="CJ13" s="20">
        <f>IF(AND(CI13="Yes",CH13&gt;0),(BN13-CF13-CG13*CH13),CF13)</f>
        <v>2</v>
      </c>
      <c r="CK13" s="20">
        <f>IF(AND(CI13="Yes",CH13&gt;0),BN13-CF13,CF13+CG13*CH13)</f>
        <v>2</v>
      </c>
      <c r="CL13" s="20">
        <f>MAX(BX13,CD13,CJ13)</f>
        <v>2</v>
      </c>
      <c r="CM13" s="20">
        <f>MAX(BY13,CE13,CK13)-IF(MIN(BX13,IF(CB13,CD13,1000),IF(CH13,CJ13,1000))&lt;1,1,MIN(BX13,IF(CB13,CD13,1000),IF(CH13,CJ13,1000)))</f>
        <v>2</v>
      </c>
      <c r="CN13" s="20">
        <f>IF(BU13=0.5,BV13,0)+IF(CA13=0.5,CB13,0)+IF(CG13=0.5,CH13,0)</f>
        <v>0</v>
      </c>
      <c r="CO13" s="20">
        <f t="shared" ref="CO13" si="0">IF(BU13=1,BV13,0)+IF(CA13=1,CB13,0)+IF(CG13=1,CH13,0)</f>
        <v>0</v>
      </c>
      <c r="CP13" s="20">
        <f>IF(BU13=1.5,BV13,0)+IF(CA13=1.5,CB13,0)+IF(CG13=1.5,CH13,0)</f>
        <v>0</v>
      </c>
      <c r="CQ13" s="20">
        <f xml:space="preserve"> IF(BU13=2,BV13,0)+IF(CA13=2,CB13,0)+IF(CG13=2,CH13,0)</f>
        <v>1</v>
      </c>
      <c r="CR13" s="20">
        <f>BS13+ IF(BU13=2,BV13,0)+IF(CA13=2,CB13,0)+IF(CG13=2,CH13,0)</f>
        <v>8</v>
      </c>
      <c r="CS13" s="20">
        <f>IF(BU13=2.5,BV13,0)+IF(CA13=2.5,CB13,0)+IF(CG13=2.5,CH13,0)</f>
        <v>0</v>
      </c>
      <c r="CT13" s="20">
        <f>IF(BU13=3,BV13,0)+IF(CA13=3,CB13,0)+IF(CG13=3,CH13,0)</f>
        <v>0</v>
      </c>
      <c r="CU13" s="20">
        <f>IF(BU13=3.5,BV13,0)+IF(CA13=3.5,CB13,0)+IF(CG13=3.5,CH13,0)</f>
        <v>0</v>
      </c>
      <c r="CV13" s="20">
        <f t="shared" ref="CV13" si="1">IF(BU13=4,BV13,0)+IF(CA13=4,CB13,0)+IF(CG13=4,CH13,0)</f>
        <v>0</v>
      </c>
      <c r="CW13" s="20">
        <f>IF(BU13=4.5,BV13,0)+IF(CA13=4.5,CB13,0)+IF(CG13=4.5,CH13,0)</f>
        <v>0</v>
      </c>
      <c r="CX13" s="20">
        <f t="shared" ref="CX13" si="2">IF(BU13=5,BV13,0)+IF(CA13=5,CB13,0)+IF(CG13=5,CH13,0)</f>
        <v>0</v>
      </c>
      <c r="CY13" s="20">
        <f>MIN(IF(CO13&gt;0,1,5),IF(CQ13&gt;0,2,5),IF(CV13&gt;0,4,5),IF(CX13&gt;0,5,5))</f>
        <v>2</v>
      </c>
      <c r="CZ13" s="20">
        <f>(BP13="Yes")+1+IF(BU13&gt;0,1,0)+IF(CB13&gt;0,1,0)+IF(CG13&gt;0,1,0)</f>
        <v>3</v>
      </c>
      <c r="DA13" s="25" t="e">
        <f>Coef_BB1+Coef_BB2*BM13/(60*BL13)+Coef_BB3*(BP13="Yes")*BM13/(60*BL13)+Coef_BB4*CR13*BM13/(60*BL13)+Coef_BB5*CO13*BM13/(60*BL13)+Coef_BB6/(60*BL13)+Coef_BB7*(SUM(CN13,CO13,CP13,CQ13,CS13,CT13,CU13,CV13,CW13,CX13))/(60*BL13)+Coef_BB8*CV13*BM13/(60*BL13)+Coef_BB9*BM13*CX13/(60*BL13)+Coef_BB10*BM13*CZ13/(60*BL13)+Coef_BB11*BM13*CN13/(60*BL13)+BBCell15*BM13*CP13/(60*BL13)+bbcELL25*BM13*CS13/(60*BL13)+BBCell3*BM13*CT13/(60*BL13)+BBCell45*BM13*CW13/(60*BL13)</f>
        <v>#DIV/0!</v>
      </c>
      <c r="DB13" s="105">
        <f>'Power Calculator'!W13</f>
        <v>1</v>
      </c>
      <c r="DC13" s="17">
        <v>1.36047246044799E-3</v>
      </c>
      <c r="DD13" s="17">
        <v>2.07660877015537E-2</v>
      </c>
      <c r="DE13" s="17">
        <v>1.6501043189973901E-2</v>
      </c>
      <c r="DF13" s="17">
        <f>0.00491806978816048*0.95</f>
        <v>4.6721662987524561E-3</v>
      </c>
      <c r="DG13" s="17">
        <f t="shared" ref="DG13:DG26" si="3">AVERAGE(Coef_BB4,Coef_BB5)</f>
        <v>3.0561929309582628E-3</v>
      </c>
      <c r="DH13" s="17">
        <v>1.44021956316407E-3</v>
      </c>
      <c r="DI13" s="17">
        <f t="shared" ref="DI13:DI26" si="4">AVERAGE(Coef_BB4,BBCell3)</f>
        <v>6.0783322292533928E-3</v>
      </c>
      <c r="DJ13" s="17">
        <f t="shared" ref="DJ13:DJ26" si="5">AVERAGE(Coef_BB4,Coef_BB8)</f>
        <v>7.4844981597543287E-3</v>
      </c>
      <c r="DK13" s="17">
        <v>8.23060568309779E-2</v>
      </c>
      <c r="DL13" s="17">
        <v>2.5933735167583401E-2</v>
      </c>
      <c r="DM13" s="17">
        <f t="shared" ref="DM13:DM26" si="6">AVERAGE(Coef_BB9,Coef_BB8)</f>
        <v>1.112469759262385E-2</v>
      </c>
      <c r="DN13" s="17">
        <f t="shared" ref="DN13:DN26" si="7">AVERAGE(DJ13,Coef_BB8)</f>
        <v>8.8906640902552646E-3</v>
      </c>
      <c r="DO13" s="17">
        <v>1.02968300207562E-2</v>
      </c>
      <c r="DP13" s="17">
        <v>1.19525651644915E-2</v>
      </c>
      <c r="DQ13" s="17">
        <v>8.1455889827933003E-3</v>
      </c>
      <c r="DR13" s="17">
        <v>1.1091997343108E-3</v>
      </c>
      <c r="DS13" s="17">
        <v>0.5</v>
      </c>
      <c r="DT13" s="114">
        <f>IF('Power Calculator'!T13="Yes",VLOOKUP('Power Calculator'!V13,Lists!$AD$3:$AE$8,2,FALSE),0)</f>
        <v>0</v>
      </c>
      <c r="DU13" s="114">
        <f>VLOOKUP('Power Calculator'!U13,Lists!$J$4:$K$5,2,FALSE)</f>
        <v>2</v>
      </c>
      <c r="DV13" s="114">
        <f>DT13*DU13</f>
        <v>0</v>
      </c>
      <c r="DW13" s="115">
        <v>5.5E-2</v>
      </c>
      <c r="DX13" s="114">
        <f>IF(BL13&lt;&gt;0,DV13*DW13*60/BL13,0)</f>
        <v>0</v>
      </c>
      <c r="DY13" s="6"/>
      <c r="DZ13" s="12">
        <f>IF(BL13&gt;0,DA13*1200+DX13+DS13,0.5)</f>
        <v>0.5</v>
      </c>
      <c r="EA13" s="6"/>
    </row>
    <row r="14" spans="63:176">
      <c r="BK14" s="6"/>
      <c r="BL14" s="3">
        <f>'Power Calculator'!C14</f>
        <v>5</v>
      </c>
      <c r="BM14" s="3">
        <f>'Power Calculator'!E14</f>
        <v>70</v>
      </c>
      <c r="BN14" s="3">
        <f>'Power Calculator'!F14</f>
        <v>50</v>
      </c>
      <c r="BO14" s="20"/>
      <c r="BP14" s="3" t="str">
        <f>'Power Calculator'!G14</f>
        <v>No</v>
      </c>
      <c r="BQ14" s="20">
        <v>2</v>
      </c>
      <c r="BR14" s="20">
        <v>2</v>
      </c>
      <c r="BS14" s="20">
        <f t="shared" ref="BS14:BS26" si="8">FLOOR(MAX(7,CL14/2+1),1)</f>
        <v>7</v>
      </c>
      <c r="BT14" s="3">
        <f>'Power Calculator'!I14</f>
        <v>1</v>
      </c>
      <c r="BU14" s="3">
        <f>'Power Calculator'!J14</f>
        <v>2</v>
      </c>
      <c r="BV14" s="3">
        <f>'Power Calculator'!H14</f>
        <v>20</v>
      </c>
      <c r="BW14" s="3" t="str">
        <f>'Power Calculator'!K14</f>
        <v>No</v>
      </c>
      <c r="BX14" s="20">
        <f t="shared" ref="BX14:BX26" si="9">IF(BW14="Yes",IF((BN14-BT14-BU14*BV14)&gt;2,BN14-BT14-BU14*BV14,2),BT14)</f>
        <v>1</v>
      </c>
      <c r="BY14" s="20">
        <f t="shared" ref="BY14:BY26" si="10">IF(BW14="Yes",BN14,BT14+BU14*BV14)</f>
        <v>41</v>
      </c>
      <c r="BZ14" s="3">
        <f>'Power Calculator'!M14</f>
        <v>1</v>
      </c>
      <c r="CA14" s="3">
        <f>'Power Calculator'!N14</f>
        <v>2</v>
      </c>
      <c r="CB14" s="3">
        <f>'Power Calculator'!L14</f>
        <v>0</v>
      </c>
      <c r="CC14" s="3" t="str">
        <f>'Power Calculator'!O14</f>
        <v>No</v>
      </c>
      <c r="CD14" s="20">
        <f t="shared" ref="CD14:CD26" si="11">IF(AND(CC14="Yes",CB14&gt;0),(BN14-BZ14-CA14*CB14),BZ14)</f>
        <v>1</v>
      </c>
      <c r="CE14" s="20">
        <f t="shared" ref="CE14:CE26" si="12">IF(AND(CC14="Yes",CB14&gt;0),BN14-BZ14,BZ14+CA14*CB14)</f>
        <v>1</v>
      </c>
      <c r="CF14" s="3">
        <f>'Power Calculator'!Q14</f>
        <v>2</v>
      </c>
      <c r="CG14" s="3">
        <f>'Power Calculator'!R14</f>
        <v>3</v>
      </c>
      <c r="CH14" s="3">
        <f>'Power Calculator'!P14</f>
        <v>0</v>
      </c>
      <c r="CI14" s="3" t="str">
        <f>'Power Calculator'!V14</f>
        <v>25 min</v>
      </c>
      <c r="CJ14" s="20">
        <f t="shared" ref="CJ14:CJ26" si="13">IF(AND(CI14="Yes",CH14&gt;0),(BN14-CF14-CG14*CH14),CF14)</f>
        <v>2</v>
      </c>
      <c r="CK14" s="20">
        <f t="shared" ref="CK14:CK26" si="14">IF(AND(CI14="Yes",CH14&gt;0),BN14-CF14,CF14+CG14*CH14)</f>
        <v>2</v>
      </c>
      <c r="CL14" s="20">
        <f t="shared" ref="CL14:CL26" si="15">MAX(BX14,CD14,CJ14)</f>
        <v>2</v>
      </c>
      <c r="CM14" s="20">
        <f t="shared" ref="CM14:CM26" si="16">MAX(BY14,CE14,CK14)-IF(MIN(BX14,IF(CB14,CD14,1000),IF(CH14,CJ14,1000))&lt;1,1,MIN(BX14,IF(CB14,CD14,1000),IF(CH14,CJ14,1000)))</f>
        <v>40</v>
      </c>
      <c r="CN14" s="20">
        <f t="shared" ref="CN14:CN26" si="17">IF(BU14=0.5,BV14,0)+IF(CA14=0.5,CB14,0)+IF(CG14=0.5,CH14,0)</f>
        <v>0</v>
      </c>
      <c r="CO14" s="20">
        <f t="shared" ref="CO14:CO26" si="18">IF(BU14=1,BV14,0)+IF(CA14=1,CB14,0)+IF(CG14=1,CH14,0)</f>
        <v>0</v>
      </c>
      <c r="CP14" s="20">
        <f t="shared" ref="CP14:CP26" si="19">IF(BU14=1.5,BV14,0)+IF(CA14=1.5,CB14,0)+IF(CG14=1.5,CH14,0)</f>
        <v>0</v>
      </c>
      <c r="CQ14" s="20">
        <f xml:space="preserve"> IF(BU14=2,BV14,0)+IF(CA14=2,CB14,0)+IF(CG14=2,CH14,0)</f>
        <v>20</v>
      </c>
      <c r="CR14" s="20">
        <f>BS14+ IF(BU14=2,BV14,0)+IF(CA14=2,CB14,0)+IF(CG14=2,CH14,0)</f>
        <v>27</v>
      </c>
      <c r="CS14" s="20">
        <f t="shared" ref="CS14:CS26" si="20">IF(BU14=2.5,BV14,0)+IF(CA14=2.5,CB14,0)+IF(CG14=2.5,CH14,0)</f>
        <v>0</v>
      </c>
      <c r="CT14" s="20">
        <f t="shared" ref="CT14:CT26" si="21">IF(BU14=3,BV14,0)+IF(CA14=3,CB14,0)+IF(CG14=3,CH14,0)</f>
        <v>0</v>
      </c>
      <c r="CU14" s="20">
        <f t="shared" ref="CU14:CU26" si="22">IF(BU14=3.5,BV14,0)+IF(CA14=3.5,CB14,0)+IF(CG14=3.5,CH14,0)</f>
        <v>0</v>
      </c>
      <c r="CV14" s="20">
        <f t="shared" ref="CV14:CV26" si="23">IF(BU14=4,BV14,0)+IF(CA14=4,CB14,0)+IF(CG14=4,CH14,0)</f>
        <v>0</v>
      </c>
      <c r="CW14" s="20">
        <f t="shared" ref="CW14:CW26" si="24">IF(BU14=4.5,BV14,0)+IF(CA14=4.5,CB14,0)+IF(CG14=4.5,CH14,0)</f>
        <v>0</v>
      </c>
      <c r="CX14" s="20">
        <f t="shared" ref="CX14:CX26" si="25">IF(BU14=5,BV14,0)+IF(CA14=5,CB14,0)+IF(CG14=5,CH14,0)</f>
        <v>0</v>
      </c>
      <c r="CY14" s="20">
        <f t="shared" ref="CY14:CY26" si="26">MIN(IF(CO14&gt;0,1,5),IF(CQ14&gt;0,2,5),IF(CV14&gt;0,4,5),IF(CX14&gt;0,5,5))</f>
        <v>2</v>
      </c>
      <c r="CZ14" s="20">
        <f t="shared" ref="CZ14:CZ26" si="27">(BP14="Yes")+1+IF(BU14&gt;0,1,0)+IF(CB14&gt;0,1,0)+IF(CG14&gt;0,1,0)</f>
        <v>3</v>
      </c>
      <c r="DA14" s="25">
        <f t="shared" ref="DA14:DA26" si="28">Coef_BB1+Coef_BB2*BM14/(60*BL14)+Coef_BB3*(BP14="Yes")*BM14/(60*BL14)+Coef_BB4*CR14*BM14/(60*BL14)+Coef_BB5*CO14*BM14/(60*BL14)+Coef_BB6/(60*BL14)+Coef_BB7*(SUM(CN14,CO14,CP14,CQ14,CS14,CT14,CU14,CV14,CW14,CX14))/(60*BL14)+Coef_BB8*CV14*BM14/(60*BL14)+Coef_BB9*BM14*CX14/(60*BL14)+Coef_BB10*BM14*CZ14/(60*BL14)+Coef_BB11*BM14*CN14/(60*BL14)+BBCell15*BM14*CP14/(60*BL14)+bbcELL25*BM14*CS14/(60*BL14)+BBCell3*BM14*CT14/(60*BL14)+BBCell45*BM14*CW14/(60*BL14)</f>
        <v>4.3345722094848466E-2</v>
      </c>
      <c r="DB14" s="105">
        <f>'Power Calculator'!W14</f>
        <v>60</v>
      </c>
      <c r="DC14" s="17">
        <v>1.36047246044799E-3</v>
      </c>
      <c r="DD14" s="17">
        <v>2.07660877015537E-2</v>
      </c>
      <c r="DE14" s="17">
        <v>1.6501043189973901E-2</v>
      </c>
      <c r="DF14" s="17">
        <f t="shared" ref="DF14:DF26" si="29">0.00491806978816048*0.95</f>
        <v>4.6721662987524561E-3</v>
      </c>
      <c r="DG14" s="17">
        <f t="shared" si="3"/>
        <v>3.0561929309582628E-3</v>
      </c>
      <c r="DH14" s="17">
        <v>1.00144021956316</v>
      </c>
      <c r="DI14" s="17">
        <f t="shared" si="4"/>
        <v>6.0783322292533928E-3</v>
      </c>
      <c r="DJ14" s="17">
        <f t="shared" si="5"/>
        <v>7.4844981597543287E-3</v>
      </c>
      <c r="DK14" s="17">
        <v>8.23060568309779E-2</v>
      </c>
      <c r="DL14" s="17">
        <v>2.5933735167583401E-2</v>
      </c>
      <c r="DM14" s="17">
        <f t="shared" si="6"/>
        <v>1.112469759262385E-2</v>
      </c>
      <c r="DN14" s="17">
        <f t="shared" si="7"/>
        <v>8.8906640902552646E-3</v>
      </c>
      <c r="DO14" s="17">
        <v>1.02968300207562E-2</v>
      </c>
      <c r="DP14" s="17">
        <v>1.19525651644915E-2</v>
      </c>
      <c r="DQ14" s="17">
        <v>8.1455889827933003E-3</v>
      </c>
      <c r="DR14" s="17">
        <v>1.1091997343108E-3</v>
      </c>
      <c r="DS14" s="17">
        <v>0.5</v>
      </c>
      <c r="DT14" s="114">
        <f>IF('Power Calculator'!T14="Yes",VLOOKUP('Power Calculator'!V14,Lists!$AD$3:$AE$8,2,FALSE),0)</f>
        <v>0</v>
      </c>
      <c r="DU14" s="114">
        <f>VLOOKUP('Power Calculator'!U14,Lists!$J$4:$K$5,2,FALSE)</f>
        <v>2</v>
      </c>
      <c r="DV14" s="114">
        <f t="shared" ref="DV14:DV26" si="30">DT14*DU14</f>
        <v>0</v>
      </c>
      <c r="DW14" s="115">
        <v>5.5E-2</v>
      </c>
      <c r="DX14" s="114">
        <f t="shared" ref="DX14:DX26" si="31">IF(BL14&lt;&gt;0,DV14*DW14*60/BL14,0)</f>
        <v>0</v>
      </c>
      <c r="DY14" s="6"/>
      <c r="DZ14" s="12">
        <f t="shared" ref="DZ14:DZ26" si="32">IF(BL14&gt;0,DA14*1200+DX14+DS14,0.5)</f>
        <v>52.514866513818156</v>
      </c>
      <c r="EA14" s="6"/>
    </row>
    <row r="15" spans="63:176">
      <c r="BK15" s="6"/>
      <c r="BL15" s="3">
        <f>'Power Calculator'!C15</f>
        <v>0</v>
      </c>
      <c r="BM15" s="3">
        <f>'Power Calculator'!E15</f>
        <v>50</v>
      </c>
      <c r="BN15" s="3">
        <f>'Power Calculator'!F15</f>
        <v>40</v>
      </c>
      <c r="BO15" s="20"/>
      <c r="BP15" s="3" t="str">
        <f>'Power Calculator'!G15</f>
        <v>Yes</v>
      </c>
      <c r="BQ15" s="20">
        <v>2</v>
      </c>
      <c r="BR15" s="20">
        <v>2</v>
      </c>
      <c r="BS15" s="20">
        <f t="shared" si="8"/>
        <v>16</v>
      </c>
      <c r="BT15" s="3">
        <f>'Power Calculator'!I15</f>
        <v>2</v>
      </c>
      <c r="BU15" s="3">
        <f>'Power Calculator'!J15</f>
        <v>1</v>
      </c>
      <c r="BV15" s="3">
        <f>'Power Calculator'!H15</f>
        <v>40</v>
      </c>
      <c r="BW15" s="3" t="str">
        <f>'Power Calculator'!K15</f>
        <v>No</v>
      </c>
      <c r="BX15" s="20">
        <f t="shared" si="9"/>
        <v>2</v>
      </c>
      <c r="BY15" s="20">
        <f t="shared" si="10"/>
        <v>42</v>
      </c>
      <c r="BZ15" s="3">
        <f>'Power Calculator'!M15</f>
        <v>30</v>
      </c>
      <c r="CA15" s="3">
        <f>'Power Calculator'!N15</f>
        <v>2</v>
      </c>
      <c r="CB15" s="3">
        <f>'Power Calculator'!L15</f>
        <v>0</v>
      </c>
      <c r="CC15" s="3" t="str">
        <f>'Power Calculator'!O15</f>
        <v>Yes</v>
      </c>
      <c r="CD15" s="20">
        <f t="shared" si="11"/>
        <v>30</v>
      </c>
      <c r="CE15" s="20">
        <f t="shared" si="12"/>
        <v>30</v>
      </c>
      <c r="CF15" s="3">
        <f>'Power Calculator'!Q15</f>
        <v>2</v>
      </c>
      <c r="CG15" s="3">
        <f>'Power Calculator'!R15</f>
        <v>2</v>
      </c>
      <c r="CH15" s="3">
        <f>'Power Calculator'!P15</f>
        <v>0</v>
      </c>
      <c r="CI15" s="3" t="str">
        <f>'Power Calculator'!V15</f>
        <v>25 min</v>
      </c>
      <c r="CJ15" s="20">
        <f t="shared" si="13"/>
        <v>2</v>
      </c>
      <c r="CK15" s="20">
        <f t="shared" si="14"/>
        <v>2</v>
      </c>
      <c r="CL15" s="20">
        <f t="shared" si="15"/>
        <v>30</v>
      </c>
      <c r="CM15" s="20">
        <f t="shared" si="16"/>
        <v>40</v>
      </c>
      <c r="CN15" s="20">
        <f t="shared" si="17"/>
        <v>0</v>
      </c>
      <c r="CO15" s="20">
        <f t="shared" si="18"/>
        <v>40</v>
      </c>
      <c r="CP15" s="20">
        <f t="shared" si="19"/>
        <v>0</v>
      </c>
      <c r="CQ15" s="20">
        <f t="shared" ref="CQ15:CQ26" si="33" xml:space="preserve"> IF(BU15=2,BV15,0)+IF(CA15=2,CB15,0)+IF(CG15=2,CH15,0)</f>
        <v>0</v>
      </c>
      <c r="CR15" s="20">
        <f t="shared" ref="CR15:CR26" si="34">BS15+ IF(BU15=2,BV15,0)+IF(CA15=2,CB15,0)+IF(CG15=2,CH15,0)</f>
        <v>16</v>
      </c>
      <c r="CS15" s="20">
        <f t="shared" si="20"/>
        <v>0</v>
      </c>
      <c r="CT15" s="20">
        <f t="shared" si="21"/>
        <v>0</v>
      </c>
      <c r="CU15" s="20">
        <f t="shared" si="22"/>
        <v>0</v>
      </c>
      <c r="CV15" s="20">
        <f t="shared" si="23"/>
        <v>0</v>
      </c>
      <c r="CW15" s="20">
        <f t="shared" si="24"/>
        <v>0</v>
      </c>
      <c r="CX15" s="20">
        <f t="shared" si="25"/>
        <v>0</v>
      </c>
      <c r="CY15" s="20">
        <f t="shared" si="26"/>
        <v>1</v>
      </c>
      <c r="CZ15" s="20">
        <f t="shared" si="27"/>
        <v>4</v>
      </c>
      <c r="DA15" s="25" t="e">
        <f t="shared" si="28"/>
        <v>#DIV/0!</v>
      </c>
      <c r="DB15" s="105">
        <f>'Power Calculator'!W15</f>
        <v>60</v>
      </c>
      <c r="DC15" s="17">
        <v>1.36047246044799E-3</v>
      </c>
      <c r="DD15" s="17">
        <v>2.07660877015537E-2</v>
      </c>
      <c r="DE15" s="17">
        <v>1.6501043189973901E-2</v>
      </c>
      <c r="DF15" s="17">
        <f t="shared" si="29"/>
        <v>4.6721662987524561E-3</v>
      </c>
      <c r="DG15" s="17">
        <f t="shared" si="3"/>
        <v>3.0561929309582628E-3</v>
      </c>
      <c r="DH15" s="17">
        <v>2.0014402195631602</v>
      </c>
      <c r="DI15" s="17">
        <f t="shared" si="4"/>
        <v>6.0783322292533928E-3</v>
      </c>
      <c r="DJ15" s="17">
        <f t="shared" si="5"/>
        <v>7.4844981597543287E-3</v>
      </c>
      <c r="DK15" s="17">
        <v>8.23060568309779E-2</v>
      </c>
      <c r="DL15" s="17">
        <v>2.5933735167583401E-2</v>
      </c>
      <c r="DM15" s="17">
        <f t="shared" si="6"/>
        <v>1.112469759262385E-2</v>
      </c>
      <c r="DN15" s="17">
        <f t="shared" si="7"/>
        <v>8.8906640902552646E-3</v>
      </c>
      <c r="DO15" s="17">
        <v>1.02968300207562E-2</v>
      </c>
      <c r="DP15" s="17">
        <v>1.19525651644915E-2</v>
      </c>
      <c r="DQ15" s="17">
        <v>8.1455889827933003E-3</v>
      </c>
      <c r="DR15" s="17">
        <v>1.1091997343108E-3</v>
      </c>
      <c r="DS15" s="17">
        <v>0.5</v>
      </c>
      <c r="DT15" s="114">
        <f>IF('Power Calculator'!T15="Yes",VLOOKUP('Power Calculator'!V15,Lists!$AD$3:$AE$8,2,FALSE),0)</f>
        <v>0</v>
      </c>
      <c r="DU15" s="114">
        <f>VLOOKUP('Power Calculator'!U15,Lists!$J$4:$K$5,2,FALSE)</f>
        <v>4</v>
      </c>
      <c r="DV15" s="114">
        <f t="shared" si="30"/>
        <v>0</v>
      </c>
      <c r="DW15" s="115">
        <v>5.5E-2</v>
      </c>
      <c r="DX15" s="114">
        <f t="shared" si="31"/>
        <v>0</v>
      </c>
      <c r="DY15" s="6"/>
      <c r="DZ15" s="12">
        <f t="shared" si="32"/>
        <v>0.5</v>
      </c>
      <c r="EA15" s="6"/>
    </row>
    <row r="16" spans="63:176">
      <c r="BK16" s="6"/>
      <c r="BL16" s="3">
        <f>'Power Calculator'!C16</f>
        <v>30</v>
      </c>
      <c r="BM16" s="3">
        <f>'Power Calculator'!E16</f>
        <v>200</v>
      </c>
      <c r="BN16" s="3">
        <f>'Power Calculator'!F16</f>
        <v>50</v>
      </c>
      <c r="BO16" s="20"/>
      <c r="BP16" s="3" t="str">
        <f>'Power Calculator'!G16</f>
        <v>Yes</v>
      </c>
      <c r="BQ16" s="20">
        <v>2</v>
      </c>
      <c r="BR16" s="20">
        <v>2</v>
      </c>
      <c r="BS16" s="20">
        <f t="shared" si="8"/>
        <v>7</v>
      </c>
      <c r="BT16" s="3">
        <f>'Power Calculator'!I16</f>
        <v>2</v>
      </c>
      <c r="BU16" s="3">
        <f>'Power Calculator'!J16</f>
        <v>1</v>
      </c>
      <c r="BV16" s="3">
        <f>'Power Calculator'!H16</f>
        <v>40</v>
      </c>
      <c r="BW16" s="3" t="str">
        <f>'Power Calculator'!K16</f>
        <v>No</v>
      </c>
      <c r="BX16" s="20">
        <f t="shared" si="9"/>
        <v>2</v>
      </c>
      <c r="BY16" s="20">
        <f t="shared" si="10"/>
        <v>42</v>
      </c>
      <c r="BZ16" s="3">
        <f>'Power Calculator'!M16</f>
        <v>0</v>
      </c>
      <c r="CA16" s="3">
        <f>'Power Calculator'!N16</f>
        <v>0</v>
      </c>
      <c r="CB16" s="3">
        <f>'Power Calculator'!L16</f>
        <v>0</v>
      </c>
      <c r="CC16" s="3">
        <f>'Power Calculator'!O16</f>
        <v>0</v>
      </c>
      <c r="CD16" s="20">
        <f t="shared" si="11"/>
        <v>0</v>
      </c>
      <c r="CE16" s="20">
        <f t="shared" si="12"/>
        <v>0</v>
      </c>
      <c r="CF16" s="3">
        <f>'Power Calculator'!Q16</f>
        <v>0</v>
      </c>
      <c r="CG16" s="3">
        <f>'Power Calculator'!R16</f>
        <v>0</v>
      </c>
      <c r="CH16" s="3">
        <f>'Power Calculator'!P16</f>
        <v>0</v>
      </c>
      <c r="CI16" s="3" t="str">
        <f>'Power Calculator'!V16</f>
        <v>25 min</v>
      </c>
      <c r="CJ16" s="20">
        <f t="shared" si="13"/>
        <v>0</v>
      </c>
      <c r="CK16" s="20">
        <f t="shared" si="14"/>
        <v>0</v>
      </c>
      <c r="CL16" s="20">
        <f t="shared" si="15"/>
        <v>2</v>
      </c>
      <c r="CM16" s="20">
        <f t="shared" si="16"/>
        <v>40</v>
      </c>
      <c r="CN16" s="20">
        <f t="shared" si="17"/>
        <v>0</v>
      </c>
      <c r="CO16" s="20">
        <f t="shared" si="18"/>
        <v>40</v>
      </c>
      <c r="CP16" s="20">
        <f t="shared" si="19"/>
        <v>0</v>
      </c>
      <c r="CQ16" s="20">
        <f t="shared" si="33"/>
        <v>0</v>
      </c>
      <c r="CR16" s="20">
        <f t="shared" si="34"/>
        <v>7</v>
      </c>
      <c r="CS16" s="20">
        <f t="shared" si="20"/>
        <v>0</v>
      </c>
      <c r="CT16" s="20">
        <f t="shared" si="21"/>
        <v>0</v>
      </c>
      <c r="CU16" s="20">
        <f t="shared" si="22"/>
        <v>0</v>
      </c>
      <c r="CV16" s="20">
        <f t="shared" si="23"/>
        <v>0</v>
      </c>
      <c r="CW16" s="20">
        <f t="shared" si="24"/>
        <v>0</v>
      </c>
      <c r="CX16" s="20">
        <f t="shared" si="25"/>
        <v>0</v>
      </c>
      <c r="CY16" s="20">
        <f t="shared" si="26"/>
        <v>1</v>
      </c>
      <c r="CZ16" s="20">
        <f t="shared" si="27"/>
        <v>3</v>
      </c>
      <c r="DA16" s="25">
        <f t="shared" si="28"/>
        <v>1.8873374879937888E-2</v>
      </c>
      <c r="DB16" s="105">
        <f>'Power Calculator'!W16</f>
        <v>30</v>
      </c>
      <c r="DC16" s="17">
        <v>1.36047246044799E-3</v>
      </c>
      <c r="DD16" s="17">
        <v>2.07660877015537E-2</v>
      </c>
      <c r="DE16" s="17">
        <v>1.6501043189973901E-2</v>
      </c>
      <c r="DF16" s="17">
        <f t="shared" si="29"/>
        <v>4.6721662987524561E-3</v>
      </c>
      <c r="DG16" s="17">
        <f t="shared" si="3"/>
        <v>3.0561929309582628E-3</v>
      </c>
      <c r="DH16" s="17">
        <v>3.0014402195631602</v>
      </c>
      <c r="DI16" s="17">
        <f t="shared" si="4"/>
        <v>6.0783322292533928E-3</v>
      </c>
      <c r="DJ16" s="17">
        <f t="shared" si="5"/>
        <v>7.4844981597543287E-3</v>
      </c>
      <c r="DK16" s="17">
        <v>8.23060568309779E-2</v>
      </c>
      <c r="DL16" s="17">
        <v>2.5933735167583401E-2</v>
      </c>
      <c r="DM16" s="17">
        <f t="shared" si="6"/>
        <v>1.112469759262385E-2</v>
      </c>
      <c r="DN16" s="17">
        <f t="shared" si="7"/>
        <v>8.8906640902552646E-3</v>
      </c>
      <c r="DO16" s="17">
        <v>1.02968300207562E-2</v>
      </c>
      <c r="DP16" s="17">
        <v>1.19525651644915E-2</v>
      </c>
      <c r="DQ16" s="17">
        <v>8.1455889827933003E-3</v>
      </c>
      <c r="DR16" s="17">
        <v>1.1091997343108E-3</v>
      </c>
      <c r="DS16" s="17">
        <v>0.5</v>
      </c>
      <c r="DT16" s="114">
        <f>IF('Power Calculator'!T16="Yes",VLOOKUP('Power Calculator'!V16,Lists!$AD$3:$AE$8,2,FALSE),0)</f>
        <v>0</v>
      </c>
      <c r="DU16" s="114">
        <f>VLOOKUP('Power Calculator'!U16,Lists!$J$4:$K$5,2,FALSE)</f>
        <v>2</v>
      </c>
      <c r="DV16" s="114">
        <f t="shared" si="30"/>
        <v>0</v>
      </c>
      <c r="DW16" s="115">
        <v>5.5E-2</v>
      </c>
      <c r="DX16" s="114">
        <f t="shared" si="31"/>
        <v>0</v>
      </c>
      <c r="DY16" s="6"/>
      <c r="DZ16" s="12">
        <f t="shared" si="32"/>
        <v>23.148049855925464</v>
      </c>
      <c r="EA16" s="6"/>
    </row>
    <row r="17" spans="63:141">
      <c r="BK17" s="6"/>
      <c r="BL17" s="3">
        <f>'Power Calculator'!C17</f>
        <v>30</v>
      </c>
      <c r="BM17" s="3">
        <f>'Power Calculator'!E17</f>
        <v>20</v>
      </c>
      <c r="BN17" s="3">
        <f>'Power Calculator'!F17</f>
        <v>60</v>
      </c>
      <c r="BO17" s="20"/>
      <c r="BP17" s="3" t="str">
        <f>'Power Calculator'!G17</f>
        <v>No</v>
      </c>
      <c r="BQ17" s="20">
        <v>2</v>
      </c>
      <c r="BR17" s="20">
        <v>2</v>
      </c>
      <c r="BS17" s="20">
        <f t="shared" si="8"/>
        <v>7</v>
      </c>
      <c r="BT17" s="3">
        <f>'Power Calculator'!I17</f>
        <v>2</v>
      </c>
      <c r="BU17" s="3">
        <f>'Power Calculator'!J17</f>
        <v>2</v>
      </c>
      <c r="BV17" s="3">
        <f>'Power Calculator'!H17</f>
        <v>60</v>
      </c>
      <c r="BW17" s="3" t="str">
        <f>'Power Calculator'!K17</f>
        <v>Yes</v>
      </c>
      <c r="BX17" s="20">
        <f t="shared" si="9"/>
        <v>2</v>
      </c>
      <c r="BY17" s="20">
        <f t="shared" si="10"/>
        <v>60</v>
      </c>
      <c r="BZ17" s="3">
        <f>'Power Calculator'!M17</f>
        <v>1</v>
      </c>
      <c r="CA17" s="3">
        <f>'Power Calculator'!N17</f>
        <v>1</v>
      </c>
      <c r="CB17" s="3">
        <f>'Power Calculator'!L17</f>
        <v>0</v>
      </c>
      <c r="CC17" s="3" t="str">
        <f>'Power Calculator'!O17</f>
        <v>No</v>
      </c>
      <c r="CD17" s="20">
        <f t="shared" si="11"/>
        <v>1</v>
      </c>
      <c r="CE17" s="20">
        <f t="shared" si="12"/>
        <v>1</v>
      </c>
      <c r="CF17" s="3">
        <f>'Power Calculator'!Q17</f>
        <v>2</v>
      </c>
      <c r="CG17" s="3">
        <f>'Power Calculator'!R17</f>
        <v>3</v>
      </c>
      <c r="CH17" s="3">
        <f>'Power Calculator'!P17</f>
        <v>0</v>
      </c>
      <c r="CI17" s="3" t="str">
        <f>'Power Calculator'!V17</f>
        <v>20 min</v>
      </c>
      <c r="CJ17" s="20">
        <f t="shared" si="13"/>
        <v>2</v>
      </c>
      <c r="CK17" s="20">
        <f t="shared" si="14"/>
        <v>2</v>
      </c>
      <c r="CL17" s="20">
        <f t="shared" si="15"/>
        <v>2</v>
      </c>
      <c r="CM17" s="20">
        <f t="shared" si="16"/>
        <v>58</v>
      </c>
      <c r="CN17" s="20">
        <f t="shared" si="17"/>
        <v>0</v>
      </c>
      <c r="CO17" s="20">
        <f t="shared" si="18"/>
        <v>0</v>
      </c>
      <c r="CP17" s="20">
        <f t="shared" si="19"/>
        <v>0</v>
      </c>
      <c r="CQ17" s="20">
        <f t="shared" si="33"/>
        <v>60</v>
      </c>
      <c r="CR17" s="20">
        <f t="shared" si="34"/>
        <v>67</v>
      </c>
      <c r="CS17" s="20">
        <f t="shared" si="20"/>
        <v>0</v>
      </c>
      <c r="CT17" s="20">
        <f t="shared" si="21"/>
        <v>0</v>
      </c>
      <c r="CU17" s="20">
        <f t="shared" si="22"/>
        <v>0</v>
      </c>
      <c r="CV17" s="20">
        <f t="shared" si="23"/>
        <v>0</v>
      </c>
      <c r="CW17" s="20">
        <f t="shared" si="24"/>
        <v>0</v>
      </c>
      <c r="CX17" s="20">
        <f t="shared" si="25"/>
        <v>0</v>
      </c>
      <c r="CY17" s="20">
        <f t="shared" si="26"/>
        <v>2</v>
      </c>
      <c r="CZ17" s="20">
        <f t="shared" si="27"/>
        <v>3</v>
      </c>
      <c r="DA17" s="25">
        <f t="shared" si="28"/>
        <v>6.2510780716774038E-3</v>
      </c>
      <c r="DB17" s="105">
        <f>'Power Calculator'!W17</f>
        <v>0</v>
      </c>
      <c r="DC17" s="17">
        <v>1.36047246044799E-3</v>
      </c>
      <c r="DD17" s="17">
        <v>2.07660877015537E-2</v>
      </c>
      <c r="DE17" s="17">
        <v>1.6501043189973901E-2</v>
      </c>
      <c r="DF17" s="17">
        <f t="shared" si="29"/>
        <v>4.6721662987524561E-3</v>
      </c>
      <c r="DG17" s="17">
        <f t="shared" si="3"/>
        <v>3.0561929309582628E-3</v>
      </c>
      <c r="DH17" s="17">
        <v>4.0014402195631602</v>
      </c>
      <c r="DI17" s="17">
        <f t="shared" si="4"/>
        <v>6.0783322292533928E-3</v>
      </c>
      <c r="DJ17" s="17">
        <f t="shared" si="5"/>
        <v>7.4844981597543287E-3</v>
      </c>
      <c r="DK17" s="17">
        <v>8.23060568309779E-2</v>
      </c>
      <c r="DL17" s="17">
        <v>2.5933735167583401E-2</v>
      </c>
      <c r="DM17" s="17">
        <f t="shared" si="6"/>
        <v>1.112469759262385E-2</v>
      </c>
      <c r="DN17" s="17">
        <f t="shared" si="7"/>
        <v>8.8906640902552646E-3</v>
      </c>
      <c r="DO17" s="17">
        <v>1.02968300207562E-2</v>
      </c>
      <c r="DP17" s="17">
        <v>1.19525651644915E-2</v>
      </c>
      <c r="DQ17" s="17">
        <v>8.1455889827933003E-3</v>
      </c>
      <c r="DR17" s="17">
        <v>1.1091997343108E-3</v>
      </c>
      <c r="DS17" s="17">
        <v>0.5</v>
      </c>
      <c r="DT17" s="114">
        <f>IF('Power Calculator'!T17="Yes",VLOOKUP('Power Calculator'!V17,Lists!$AD$3:$AE$8,2,FALSE),0)</f>
        <v>0</v>
      </c>
      <c r="DU17" s="114">
        <f>VLOOKUP('Power Calculator'!U17,Lists!$J$4:$K$5,2,FALSE)</f>
        <v>2</v>
      </c>
      <c r="DV17" s="114">
        <f t="shared" si="30"/>
        <v>0</v>
      </c>
      <c r="DW17" s="115">
        <v>5.5E-2</v>
      </c>
      <c r="DX17" s="114">
        <f t="shared" si="31"/>
        <v>0</v>
      </c>
      <c r="DY17" s="6"/>
      <c r="DZ17" s="12">
        <f t="shared" si="32"/>
        <v>8.0012936860128843</v>
      </c>
      <c r="EA17" s="6"/>
      <c r="EK17" s="1"/>
    </row>
    <row r="18" spans="63:141">
      <c r="BK18" s="6"/>
      <c r="BL18" s="3" t="e">
        <f>'Power Calculator'!#REF!</f>
        <v>#REF!</v>
      </c>
      <c r="BM18" s="3" t="e">
        <f>'Power Calculator'!#REF!</f>
        <v>#REF!</v>
      </c>
      <c r="BN18" s="3" t="e">
        <f>'Power Calculator'!#REF!</f>
        <v>#REF!</v>
      </c>
      <c r="BO18" s="20"/>
      <c r="BP18" s="3" t="e">
        <f>'Power Calculator'!#REF!</f>
        <v>#REF!</v>
      </c>
      <c r="BQ18" s="20">
        <v>2</v>
      </c>
      <c r="BR18" s="20">
        <v>2</v>
      </c>
      <c r="BS18" s="20" t="e">
        <f t="shared" si="8"/>
        <v>#REF!</v>
      </c>
      <c r="BT18" s="3" t="e">
        <f>'Power Calculator'!#REF!</f>
        <v>#REF!</v>
      </c>
      <c r="BU18" s="3" t="e">
        <f>'Power Calculator'!#REF!</f>
        <v>#REF!</v>
      </c>
      <c r="BV18" s="3" t="e">
        <f>'Power Calculator'!#REF!</f>
        <v>#REF!</v>
      </c>
      <c r="BW18" s="3" t="e">
        <f>'Power Calculator'!#REF!</f>
        <v>#REF!</v>
      </c>
      <c r="BX18" s="20" t="e">
        <f t="shared" si="9"/>
        <v>#REF!</v>
      </c>
      <c r="BY18" s="20" t="e">
        <f t="shared" si="10"/>
        <v>#REF!</v>
      </c>
      <c r="BZ18" s="3" t="e">
        <f>'Power Calculator'!#REF!</f>
        <v>#REF!</v>
      </c>
      <c r="CA18" s="3" t="e">
        <f>'Power Calculator'!#REF!</f>
        <v>#REF!</v>
      </c>
      <c r="CB18" s="3" t="e">
        <f>'Power Calculator'!#REF!</f>
        <v>#REF!</v>
      </c>
      <c r="CC18" s="3" t="e">
        <f>'Power Calculator'!#REF!</f>
        <v>#REF!</v>
      </c>
      <c r="CD18" s="20" t="e">
        <f t="shared" si="11"/>
        <v>#REF!</v>
      </c>
      <c r="CE18" s="20" t="e">
        <f t="shared" si="12"/>
        <v>#REF!</v>
      </c>
      <c r="CF18" s="3" t="e">
        <f>'Power Calculator'!#REF!</f>
        <v>#REF!</v>
      </c>
      <c r="CG18" s="3" t="e">
        <f>'Power Calculator'!#REF!</f>
        <v>#REF!</v>
      </c>
      <c r="CH18" s="3" t="e">
        <f>'Power Calculator'!#REF!</f>
        <v>#REF!</v>
      </c>
      <c r="CI18" s="3" t="e">
        <f>'Power Calculator'!#REF!</f>
        <v>#REF!</v>
      </c>
      <c r="CJ18" s="20" t="e">
        <f t="shared" si="13"/>
        <v>#REF!</v>
      </c>
      <c r="CK18" s="20" t="e">
        <f t="shared" si="14"/>
        <v>#REF!</v>
      </c>
      <c r="CL18" s="20" t="e">
        <f t="shared" si="15"/>
        <v>#REF!</v>
      </c>
      <c r="CM18" s="20" t="e">
        <f t="shared" si="16"/>
        <v>#REF!</v>
      </c>
      <c r="CN18" s="20" t="e">
        <f t="shared" si="17"/>
        <v>#REF!</v>
      </c>
      <c r="CO18" s="20" t="e">
        <f t="shared" si="18"/>
        <v>#REF!</v>
      </c>
      <c r="CP18" s="20" t="e">
        <f t="shared" si="19"/>
        <v>#REF!</v>
      </c>
      <c r="CQ18" s="20" t="e">
        <f t="shared" si="33"/>
        <v>#REF!</v>
      </c>
      <c r="CR18" s="20" t="e">
        <f t="shared" si="34"/>
        <v>#REF!</v>
      </c>
      <c r="CS18" s="20" t="e">
        <f t="shared" si="20"/>
        <v>#REF!</v>
      </c>
      <c r="CT18" s="20" t="e">
        <f t="shared" si="21"/>
        <v>#REF!</v>
      </c>
      <c r="CU18" s="20" t="e">
        <f t="shared" si="22"/>
        <v>#REF!</v>
      </c>
      <c r="CV18" s="20" t="e">
        <f t="shared" si="23"/>
        <v>#REF!</v>
      </c>
      <c r="CW18" s="20" t="e">
        <f t="shared" si="24"/>
        <v>#REF!</v>
      </c>
      <c r="CX18" s="20" t="e">
        <f t="shared" si="25"/>
        <v>#REF!</v>
      </c>
      <c r="CY18" s="20" t="e">
        <f t="shared" si="26"/>
        <v>#REF!</v>
      </c>
      <c r="CZ18" s="20" t="e">
        <f t="shared" si="27"/>
        <v>#REF!</v>
      </c>
      <c r="DA18" s="25" t="e">
        <f t="shared" si="28"/>
        <v>#REF!</v>
      </c>
      <c r="DB18" s="105">
        <f>'Power Calculator'!W18</f>
        <v>0</v>
      </c>
      <c r="DC18" s="17">
        <v>1.36047246044799E-3</v>
      </c>
      <c r="DD18" s="17">
        <v>2.07660877015537E-2</v>
      </c>
      <c r="DE18" s="17">
        <v>1.6501043189973901E-2</v>
      </c>
      <c r="DF18" s="17">
        <f t="shared" si="29"/>
        <v>4.6721662987524561E-3</v>
      </c>
      <c r="DG18" s="17">
        <f t="shared" si="3"/>
        <v>3.0561929309582628E-3</v>
      </c>
      <c r="DH18" s="17">
        <v>5.0014402195631602</v>
      </c>
      <c r="DI18" s="17">
        <f t="shared" si="4"/>
        <v>6.0783322292533928E-3</v>
      </c>
      <c r="DJ18" s="17">
        <f t="shared" si="5"/>
        <v>7.4844981597543287E-3</v>
      </c>
      <c r="DK18" s="17">
        <v>8.23060568309779E-2</v>
      </c>
      <c r="DL18" s="17">
        <v>2.5933735167583401E-2</v>
      </c>
      <c r="DM18" s="17">
        <f t="shared" si="6"/>
        <v>1.112469759262385E-2</v>
      </c>
      <c r="DN18" s="17">
        <f t="shared" si="7"/>
        <v>8.8906640902552646E-3</v>
      </c>
      <c r="DO18" s="17">
        <v>1.02968300207562E-2</v>
      </c>
      <c r="DP18" s="17">
        <v>1.19525651644915E-2</v>
      </c>
      <c r="DQ18" s="17">
        <v>8.1455889827933003E-3</v>
      </c>
      <c r="DR18" s="17">
        <v>1.1091997343108E-3</v>
      </c>
      <c r="DS18" s="17">
        <v>0.5</v>
      </c>
      <c r="DT18" s="114">
        <f>IF('Power Calculator'!T18="Yes",VLOOKUP('Power Calculator'!V18,Lists!$AD$3:$AE$8,2,FALSE),0)</f>
        <v>0</v>
      </c>
      <c r="DU18" s="114" t="e">
        <f>VLOOKUP('Power Calculator'!U18,Lists!$J$4:$K$5,2,FALSE)</f>
        <v>#N/A</v>
      </c>
      <c r="DV18" s="114" t="e">
        <f t="shared" si="30"/>
        <v>#N/A</v>
      </c>
      <c r="DW18" s="115">
        <v>5.5E-2</v>
      </c>
      <c r="DX18" s="114" t="e">
        <f t="shared" si="31"/>
        <v>#REF!</v>
      </c>
      <c r="DY18" s="6"/>
      <c r="DZ18" s="12" t="e">
        <f t="shared" si="32"/>
        <v>#REF!</v>
      </c>
      <c r="EA18" s="6"/>
      <c r="EK18" s="1"/>
    </row>
    <row r="19" spans="63:141">
      <c r="BK19" s="6"/>
      <c r="BL19" s="3" t="e">
        <f>'Power Calculator'!#REF!</f>
        <v>#REF!</v>
      </c>
      <c r="BM19" s="3" t="e">
        <f>'Power Calculator'!#REF!</f>
        <v>#REF!</v>
      </c>
      <c r="BN19" s="3" t="e">
        <f>'Power Calculator'!#REF!</f>
        <v>#REF!</v>
      </c>
      <c r="BO19" s="20"/>
      <c r="BP19" s="3" t="e">
        <f>'Power Calculator'!#REF!</f>
        <v>#REF!</v>
      </c>
      <c r="BQ19" s="20">
        <v>2</v>
      </c>
      <c r="BR19" s="20">
        <v>2</v>
      </c>
      <c r="BS19" s="20" t="e">
        <f t="shared" si="8"/>
        <v>#REF!</v>
      </c>
      <c r="BT19" s="3" t="e">
        <f>'Power Calculator'!#REF!</f>
        <v>#REF!</v>
      </c>
      <c r="BU19" s="3" t="e">
        <f>'Power Calculator'!#REF!</f>
        <v>#REF!</v>
      </c>
      <c r="BV19" s="3" t="e">
        <f>'Power Calculator'!#REF!</f>
        <v>#REF!</v>
      </c>
      <c r="BW19" s="3" t="e">
        <f>'Power Calculator'!#REF!</f>
        <v>#REF!</v>
      </c>
      <c r="BX19" s="20" t="e">
        <f t="shared" si="9"/>
        <v>#REF!</v>
      </c>
      <c r="BY19" s="20" t="e">
        <f t="shared" si="10"/>
        <v>#REF!</v>
      </c>
      <c r="BZ19" s="3" t="e">
        <f>'Power Calculator'!#REF!</f>
        <v>#REF!</v>
      </c>
      <c r="CA19" s="3" t="e">
        <f>'Power Calculator'!#REF!</f>
        <v>#REF!</v>
      </c>
      <c r="CB19" s="3" t="e">
        <f>'Power Calculator'!#REF!</f>
        <v>#REF!</v>
      </c>
      <c r="CC19" s="3" t="e">
        <f>'Power Calculator'!#REF!</f>
        <v>#REF!</v>
      </c>
      <c r="CD19" s="20" t="e">
        <f t="shared" si="11"/>
        <v>#REF!</v>
      </c>
      <c r="CE19" s="20" t="e">
        <f t="shared" si="12"/>
        <v>#REF!</v>
      </c>
      <c r="CF19" s="3" t="e">
        <f>'Power Calculator'!#REF!</f>
        <v>#REF!</v>
      </c>
      <c r="CG19" s="3" t="e">
        <f>'Power Calculator'!#REF!</f>
        <v>#REF!</v>
      </c>
      <c r="CH19" s="3" t="e">
        <f>'Power Calculator'!#REF!</f>
        <v>#REF!</v>
      </c>
      <c r="CI19" s="3" t="e">
        <f>'Power Calculator'!#REF!</f>
        <v>#REF!</v>
      </c>
      <c r="CJ19" s="20" t="e">
        <f t="shared" si="13"/>
        <v>#REF!</v>
      </c>
      <c r="CK19" s="20" t="e">
        <f t="shared" si="14"/>
        <v>#REF!</v>
      </c>
      <c r="CL19" s="20" t="e">
        <f t="shared" si="15"/>
        <v>#REF!</v>
      </c>
      <c r="CM19" s="20" t="e">
        <f t="shared" si="16"/>
        <v>#REF!</v>
      </c>
      <c r="CN19" s="20" t="e">
        <f t="shared" si="17"/>
        <v>#REF!</v>
      </c>
      <c r="CO19" s="20" t="e">
        <f t="shared" si="18"/>
        <v>#REF!</v>
      </c>
      <c r="CP19" s="20" t="e">
        <f t="shared" si="19"/>
        <v>#REF!</v>
      </c>
      <c r="CQ19" s="20" t="e">
        <f t="shared" si="33"/>
        <v>#REF!</v>
      </c>
      <c r="CR19" s="20" t="e">
        <f t="shared" si="34"/>
        <v>#REF!</v>
      </c>
      <c r="CS19" s="20" t="e">
        <f t="shared" si="20"/>
        <v>#REF!</v>
      </c>
      <c r="CT19" s="20" t="e">
        <f t="shared" si="21"/>
        <v>#REF!</v>
      </c>
      <c r="CU19" s="20" t="e">
        <f t="shared" si="22"/>
        <v>#REF!</v>
      </c>
      <c r="CV19" s="20" t="e">
        <f t="shared" si="23"/>
        <v>#REF!</v>
      </c>
      <c r="CW19" s="20" t="e">
        <f t="shared" si="24"/>
        <v>#REF!</v>
      </c>
      <c r="CX19" s="20" t="e">
        <f t="shared" si="25"/>
        <v>#REF!</v>
      </c>
      <c r="CY19" s="20" t="e">
        <f t="shared" si="26"/>
        <v>#REF!</v>
      </c>
      <c r="CZ19" s="20" t="e">
        <f t="shared" si="27"/>
        <v>#REF!</v>
      </c>
      <c r="DA19" s="25" t="e">
        <f t="shared" si="28"/>
        <v>#REF!</v>
      </c>
      <c r="DB19" s="105">
        <f>'Power Calculator'!W19</f>
        <v>0</v>
      </c>
      <c r="DC19" s="17">
        <v>1.36047246044799E-3</v>
      </c>
      <c r="DD19" s="17">
        <v>2.07660877015537E-2</v>
      </c>
      <c r="DE19" s="17">
        <v>1.6501043189973901E-2</v>
      </c>
      <c r="DF19" s="17">
        <f t="shared" si="29"/>
        <v>4.6721662987524561E-3</v>
      </c>
      <c r="DG19" s="17">
        <f t="shared" si="3"/>
        <v>3.0561929309582628E-3</v>
      </c>
      <c r="DH19" s="17">
        <v>6.0014402195631602</v>
      </c>
      <c r="DI19" s="17">
        <f t="shared" si="4"/>
        <v>6.0783322292533928E-3</v>
      </c>
      <c r="DJ19" s="17">
        <f t="shared" si="5"/>
        <v>7.4844981597543287E-3</v>
      </c>
      <c r="DK19" s="17">
        <v>8.23060568309779E-2</v>
      </c>
      <c r="DL19" s="17">
        <v>2.5933735167583401E-2</v>
      </c>
      <c r="DM19" s="17">
        <f t="shared" si="6"/>
        <v>1.112469759262385E-2</v>
      </c>
      <c r="DN19" s="17">
        <f t="shared" si="7"/>
        <v>8.8906640902552646E-3</v>
      </c>
      <c r="DO19" s="17">
        <v>1.02968300207562E-2</v>
      </c>
      <c r="DP19" s="17">
        <v>1.19525651644915E-2</v>
      </c>
      <c r="DQ19" s="17">
        <v>8.1455889827933003E-3</v>
      </c>
      <c r="DR19" s="17">
        <v>1.1091997343108E-3</v>
      </c>
      <c r="DS19" s="17">
        <v>0.5</v>
      </c>
      <c r="DT19" s="114">
        <f>IF('Power Calculator'!T19="Yes",VLOOKUP('Power Calculator'!V19,Lists!$AD$3:$AE$8,2,FALSE),0)</f>
        <v>0</v>
      </c>
      <c r="DU19" s="114" t="e">
        <f>VLOOKUP('Power Calculator'!U19,Lists!$J$4:$K$5,2,FALSE)</f>
        <v>#N/A</v>
      </c>
      <c r="DV19" s="114" t="e">
        <f t="shared" si="30"/>
        <v>#N/A</v>
      </c>
      <c r="DW19" s="115">
        <v>5.5E-2</v>
      </c>
      <c r="DX19" s="114" t="e">
        <f t="shared" si="31"/>
        <v>#REF!</v>
      </c>
      <c r="DY19" s="6"/>
      <c r="DZ19" s="12" t="e">
        <f t="shared" si="32"/>
        <v>#REF!</v>
      </c>
      <c r="EA19" s="6"/>
      <c r="EK19" s="1"/>
    </row>
    <row r="20" spans="63:141">
      <c r="BK20" s="6"/>
      <c r="BL20" s="3" t="e">
        <f>'Power Calculator'!#REF!</f>
        <v>#REF!</v>
      </c>
      <c r="BM20" s="3" t="e">
        <f>'Power Calculator'!#REF!</f>
        <v>#REF!</v>
      </c>
      <c r="BN20" s="3" t="e">
        <f>'Power Calculator'!#REF!</f>
        <v>#REF!</v>
      </c>
      <c r="BO20" s="20"/>
      <c r="BP20" s="3" t="e">
        <f>'Power Calculator'!#REF!</f>
        <v>#REF!</v>
      </c>
      <c r="BQ20" s="20">
        <v>2</v>
      </c>
      <c r="BR20" s="20">
        <v>2</v>
      </c>
      <c r="BS20" s="20" t="e">
        <f t="shared" si="8"/>
        <v>#REF!</v>
      </c>
      <c r="BT20" s="3" t="e">
        <f>'Power Calculator'!#REF!</f>
        <v>#REF!</v>
      </c>
      <c r="BU20" s="3" t="e">
        <f>'Power Calculator'!#REF!</f>
        <v>#REF!</v>
      </c>
      <c r="BV20" s="3" t="e">
        <f>'Power Calculator'!#REF!</f>
        <v>#REF!</v>
      </c>
      <c r="BW20" s="3" t="e">
        <f>'Power Calculator'!#REF!</f>
        <v>#REF!</v>
      </c>
      <c r="BX20" s="20" t="e">
        <f t="shared" si="9"/>
        <v>#REF!</v>
      </c>
      <c r="BY20" s="20" t="e">
        <f t="shared" si="10"/>
        <v>#REF!</v>
      </c>
      <c r="BZ20" s="3" t="e">
        <f>'Power Calculator'!#REF!</f>
        <v>#REF!</v>
      </c>
      <c r="CA20" s="3" t="e">
        <f>'Power Calculator'!#REF!</f>
        <v>#REF!</v>
      </c>
      <c r="CB20" s="3" t="e">
        <f>'Power Calculator'!#REF!</f>
        <v>#REF!</v>
      </c>
      <c r="CC20" s="3" t="e">
        <f>'Power Calculator'!#REF!</f>
        <v>#REF!</v>
      </c>
      <c r="CD20" s="20" t="e">
        <f t="shared" si="11"/>
        <v>#REF!</v>
      </c>
      <c r="CE20" s="20" t="e">
        <f t="shared" si="12"/>
        <v>#REF!</v>
      </c>
      <c r="CF20" s="3" t="e">
        <f>'Power Calculator'!#REF!</f>
        <v>#REF!</v>
      </c>
      <c r="CG20" s="3" t="e">
        <f>'Power Calculator'!#REF!</f>
        <v>#REF!</v>
      </c>
      <c r="CH20" s="3" t="e">
        <f>'Power Calculator'!#REF!</f>
        <v>#REF!</v>
      </c>
      <c r="CI20" s="3" t="e">
        <f>'Power Calculator'!#REF!</f>
        <v>#REF!</v>
      </c>
      <c r="CJ20" s="20" t="e">
        <f t="shared" si="13"/>
        <v>#REF!</v>
      </c>
      <c r="CK20" s="20" t="e">
        <f t="shared" si="14"/>
        <v>#REF!</v>
      </c>
      <c r="CL20" s="20" t="e">
        <f t="shared" si="15"/>
        <v>#REF!</v>
      </c>
      <c r="CM20" s="20" t="e">
        <f t="shared" si="16"/>
        <v>#REF!</v>
      </c>
      <c r="CN20" s="20" t="e">
        <f t="shared" si="17"/>
        <v>#REF!</v>
      </c>
      <c r="CO20" s="20" t="e">
        <f t="shared" si="18"/>
        <v>#REF!</v>
      </c>
      <c r="CP20" s="20" t="e">
        <f t="shared" si="19"/>
        <v>#REF!</v>
      </c>
      <c r="CQ20" s="20" t="e">
        <f t="shared" si="33"/>
        <v>#REF!</v>
      </c>
      <c r="CR20" s="20" t="e">
        <f t="shared" si="34"/>
        <v>#REF!</v>
      </c>
      <c r="CS20" s="20" t="e">
        <f t="shared" si="20"/>
        <v>#REF!</v>
      </c>
      <c r="CT20" s="20" t="e">
        <f t="shared" si="21"/>
        <v>#REF!</v>
      </c>
      <c r="CU20" s="20" t="e">
        <f t="shared" si="22"/>
        <v>#REF!</v>
      </c>
      <c r="CV20" s="20" t="e">
        <f t="shared" si="23"/>
        <v>#REF!</v>
      </c>
      <c r="CW20" s="20" t="e">
        <f t="shared" si="24"/>
        <v>#REF!</v>
      </c>
      <c r="CX20" s="20" t="e">
        <f t="shared" si="25"/>
        <v>#REF!</v>
      </c>
      <c r="CY20" s="20" t="e">
        <f t="shared" si="26"/>
        <v>#REF!</v>
      </c>
      <c r="CZ20" s="20" t="e">
        <f t="shared" si="27"/>
        <v>#REF!</v>
      </c>
      <c r="DA20" s="25" t="e">
        <f t="shared" si="28"/>
        <v>#REF!</v>
      </c>
      <c r="DB20" s="105">
        <f>'Power Calculator'!W20</f>
        <v>0</v>
      </c>
      <c r="DC20" s="17">
        <v>1.36047246044799E-3</v>
      </c>
      <c r="DD20" s="17">
        <v>2.07660877015537E-2</v>
      </c>
      <c r="DE20" s="17">
        <v>1.6501043189973901E-2</v>
      </c>
      <c r="DF20" s="17">
        <f t="shared" si="29"/>
        <v>4.6721662987524561E-3</v>
      </c>
      <c r="DG20" s="17">
        <f t="shared" si="3"/>
        <v>3.0561929309582628E-3</v>
      </c>
      <c r="DH20" s="17">
        <v>7.0014402195631602</v>
      </c>
      <c r="DI20" s="17">
        <f t="shared" si="4"/>
        <v>6.0783322292533928E-3</v>
      </c>
      <c r="DJ20" s="17">
        <f t="shared" si="5"/>
        <v>7.4844981597543287E-3</v>
      </c>
      <c r="DK20" s="17">
        <v>8.23060568309779E-2</v>
      </c>
      <c r="DL20" s="17">
        <v>2.5933735167583401E-2</v>
      </c>
      <c r="DM20" s="17">
        <f t="shared" si="6"/>
        <v>1.112469759262385E-2</v>
      </c>
      <c r="DN20" s="17">
        <f t="shared" si="7"/>
        <v>8.8906640902552646E-3</v>
      </c>
      <c r="DO20" s="17">
        <v>1.02968300207562E-2</v>
      </c>
      <c r="DP20" s="17">
        <v>1.19525651644915E-2</v>
      </c>
      <c r="DQ20" s="17">
        <v>8.1455889827933003E-3</v>
      </c>
      <c r="DR20" s="17">
        <v>1.1091997343108E-3</v>
      </c>
      <c r="DS20" s="17">
        <v>0.5</v>
      </c>
      <c r="DT20" s="114">
        <f>IF('Power Calculator'!T20="Yes",VLOOKUP('Power Calculator'!V20,Lists!$AD$3:$AE$8,2,FALSE),0)</f>
        <v>0</v>
      </c>
      <c r="DU20" s="114" t="e">
        <f>VLOOKUP('Power Calculator'!U20,Lists!$J$4:$K$5,2,FALSE)</f>
        <v>#N/A</v>
      </c>
      <c r="DV20" s="114" t="e">
        <f t="shared" si="30"/>
        <v>#N/A</v>
      </c>
      <c r="DW20" s="115">
        <v>5.5E-2</v>
      </c>
      <c r="DX20" s="114" t="e">
        <f t="shared" si="31"/>
        <v>#REF!</v>
      </c>
      <c r="DY20" s="6"/>
      <c r="DZ20" s="12" t="e">
        <f t="shared" si="32"/>
        <v>#REF!</v>
      </c>
      <c r="EA20" s="6"/>
    </row>
    <row r="21" spans="63:141">
      <c r="BK21" s="6"/>
      <c r="BL21" s="3" t="e">
        <f>'Power Calculator'!#REF!</f>
        <v>#REF!</v>
      </c>
      <c r="BM21" s="3" t="e">
        <f>'Power Calculator'!#REF!</f>
        <v>#REF!</v>
      </c>
      <c r="BN21" s="3" t="e">
        <f>'Power Calculator'!#REF!</f>
        <v>#REF!</v>
      </c>
      <c r="BO21" s="20"/>
      <c r="BP21" s="3" t="e">
        <f>'Power Calculator'!#REF!</f>
        <v>#REF!</v>
      </c>
      <c r="BQ21" s="20">
        <v>2</v>
      </c>
      <c r="BR21" s="20">
        <v>2</v>
      </c>
      <c r="BS21" s="20" t="e">
        <f t="shared" si="8"/>
        <v>#REF!</v>
      </c>
      <c r="BT21" s="3" t="e">
        <f>'Power Calculator'!#REF!</f>
        <v>#REF!</v>
      </c>
      <c r="BU21" s="3" t="e">
        <f>'Power Calculator'!#REF!</f>
        <v>#REF!</v>
      </c>
      <c r="BV21" s="3" t="e">
        <f>'Power Calculator'!#REF!</f>
        <v>#REF!</v>
      </c>
      <c r="BW21" s="3" t="e">
        <f>'Power Calculator'!#REF!</f>
        <v>#REF!</v>
      </c>
      <c r="BX21" s="20" t="e">
        <f t="shared" si="9"/>
        <v>#REF!</v>
      </c>
      <c r="BY21" s="20" t="e">
        <f t="shared" si="10"/>
        <v>#REF!</v>
      </c>
      <c r="BZ21" s="3" t="e">
        <f>'Power Calculator'!#REF!</f>
        <v>#REF!</v>
      </c>
      <c r="CA21" s="3" t="e">
        <f>'Power Calculator'!#REF!</f>
        <v>#REF!</v>
      </c>
      <c r="CB21" s="3" t="e">
        <f>'Power Calculator'!#REF!</f>
        <v>#REF!</v>
      </c>
      <c r="CC21" s="3" t="e">
        <f>'Power Calculator'!#REF!</f>
        <v>#REF!</v>
      </c>
      <c r="CD21" s="20" t="e">
        <f t="shared" si="11"/>
        <v>#REF!</v>
      </c>
      <c r="CE21" s="20" t="e">
        <f t="shared" si="12"/>
        <v>#REF!</v>
      </c>
      <c r="CF21" s="3" t="e">
        <f>'Power Calculator'!#REF!</f>
        <v>#REF!</v>
      </c>
      <c r="CG21" s="3" t="e">
        <f>'Power Calculator'!#REF!</f>
        <v>#REF!</v>
      </c>
      <c r="CH21" s="3" t="e">
        <f>'Power Calculator'!#REF!</f>
        <v>#REF!</v>
      </c>
      <c r="CI21" s="3" t="e">
        <f>'Power Calculator'!#REF!</f>
        <v>#REF!</v>
      </c>
      <c r="CJ21" s="20" t="e">
        <f t="shared" si="13"/>
        <v>#REF!</v>
      </c>
      <c r="CK21" s="20" t="e">
        <f t="shared" si="14"/>
        <v>#REF!</v>
      </c>
      <c r="CL21" s="20" t="e">
        <f t="shared" si="15"/>
        <v>#REF!</v>
      </c>
      <c r="CM21" s="20" t="e">
        <f t="shared" si="16"/>
        <v>#REF!</v>
      </c>
      <c r="CN21" s="20" t="e">
        <f t="shared" si="17"/>
        <v>#REF!</v>
      </c>
      <c r="CO21" s="20" t="e">
        <f t="shared" si="18"/>
        <v>#REF!</v>
      </c>
      <c r="CP21" s="20" t="e">
        <f t="shared" si="19"/>
        <v>#REF!</v>
      </c>
      <c r="CQ21" s="20" t="e">
        <f t="shared" si="33"/>
        <v>#REF!</v>
      </c>
      <c r="CR21" s="20" t="e">
        <f t="shared" si="34"/>
        <v>#REF!</v>
      </c>
      <c r="CS21" s="20" t="e">
        <f t="shared" si="20"/>
        <v>#REF!</v>
      </c>
      <c r="CT21" s="20" t="e">
        <f t="shared" si="21"/>
        <v>#REF!</v>
      </c>
      <c r="CU21" s="20" t="e">
        <f t="shared" si="22"/>
        <v>#REF!</v>
      </c>
      <c r="CV21" s="20" t="e">
        <f t="shared" si="23"/>
        <v>#REF!</v>
      </c>
      <c r="CW21" s="20" t="e">
        <f t="shared" si="24"/>
        <v>#REF!</v>
      </c>
      <c r="CX21" s="20" t="e">
        <f t="shared" si="25"/>
        <v>#REF!</v>
      </c>
      <c r="CY21" s="20" t="e">
        <f t="shared" si="26"/>
        <v>#REF!</v>
      </c>
      <c r="CZ21" s="20" t="e">
        <f t="shared" si="27"/>
        <v>#REF!</v>
      </c>
      <c r="DA21" s="25" t="e">
        <f t="shared" si="28"/>
        <v>#REF!</v>
      </c>
      <c r="DB21" s="105">
        <f>'Power Calculator'!W21</f>
        <v>0</v>
      </c>
      <c r="DC21" s="17">
        <v>1.36047246044799E-3</v>
      </c>
      <c r="DD21" s="17">
        <v>2.07660877015537E-2</v>
      </c>
      <c r="DE21" s="17">
        <v>1.6501043189973901E-2</v>
      </c>
      <c r="DF21" s="17">
        <f t="shared" si="29"/>
        <v>4.6721662987524561E-3</v>
      </c>
      <c r="DG21" s="17">
        <f t="shared" si="3"/>
        <v>3.0561929309582628E-3</v>
      </c>
      <c r="DH21" s="17">
        <v>8.0014402195631593</v>
      </c>
      <c r="DI21" s="17">
        <f t="shared" si="4"/>
        <v>6.0783322292533928E-3</v>
      </c>
      <c r="DJ21" s="17">
        <f t="shared" si="5"/>
        <v>7.4844981597543287E-3</v>
      </c>
      <c r="DK21" s="17">
        <v>8.23060568309779E-2</v>
      </c>
      <c r="DL21" s="17">
        <v>2.5933735167583401E-2</v>
      </c>
      <c r="DM21" s="17">
        <f t="shared" si="6"/>
        <v>1.112469759262385E-2</v>
      </c>
      <c r="DN21" s="17">
        <f t="shared" si="7"/>
        <v>8.8906640902552646E-3</v>
      </c>
      <c r="DO21" s="17">
        <v>1.02968300207562E-2</v>
      </c>
      <c r="DP21" s="17">
        <v>1.19525651644915E-2</v>
      </c>
      <c r="DQ21" s="17">
        <v>8.1455889827933003E-3</v>
      </c>
      <c r="DR21" s="17">
        <v>1.1091997343108E-3</v>
      </c>
      <c r="DS21" s="17">
        <v>0.5</v>
      </c>
      <c r="DT21" s="114">
        <f>IF('Power Calculator'!T21="Yes",VLOOKUP('Power Calculator'!V21,Lists!$AD$3:$AE$8,2,FALSE),0)</f>
        <v>0</v>
      </c>
      <c r="DU21" s="114" t="e">
        <f>VLOOKUP('Power Calculator'!U21,Lists!$J$4:$K$5,2,FALSE)</f>
        <v>#N/A</v>
      </c>
      <c r="DV21" s="114" t="e">
        <f t="shared" si="30"/>
        <v>#N/A</v>
      </c>
      <c r="DW21" s="115">
        <v>5.5E-2</v>
      </c>
      <c r="DX21" s="114" t="e">
        <f t="shared" si="31"/>
        <v>#REF!</v>
      </c>
      <c r="DY21" s="6"/>
      <c r="DZ21" s="12" t="e">
        <f t="shared" si="32"/>
        <v>#REF!</v>
      </c>
      <c r="EA21" s="6"/>
    </row>
    <row r="22" spans="63:141">
      <c r="BK22" s="6"/>
      <c r="BL22" s="3" t="e">
        <f>'Power Calculator'!#REF!</f>
        <v>#REF!</v>
      </c>
      <c r="BM22" s="3" t="e">
        <f>'Power Calculator'!#REF!</f>
        <v>#REF!</v>
      </c>
      <c r="BN22" s="3" t="e">
        <f>'Power Calculator'!#REF!</f>
        <v>#REF!</v>
      </c>
      <c r="BO22" s="20"/>
      <c r="BP22" s="3" t="e">
        <f>'Power Calculator'!#REF!</f>
        <v>#REF!</v>
      </c>
      <c r="BQ22" s="20">
        <v>2</v>
      </c>
      <c r="BR22" s="20">
        <v>2</v>
      </c>
      <c r="BS22" s="20" t="e">
        <f t="shared" si="8"/>
        <v>#REF!</v>
      </c>
      <c r="BT22" s="3" t="e">
        <f>'Power Calculator'!#REF!</f>
        <v>#REF!</v>
      </c>
      <c r="BU22" s="3" t="e">
        <f>'Power Calculator'!#REF!</f>
        <v>#REF!</v>
      </c>
      <c r="BV22" s="3" t="e">
        <f>'Power Calculator'!#REF!</f>
        <v>#REF!</v>
      </c>
      <c r="BW22" s="3" t="e">
        <f>'Power Calculator'!#REF!</f>
        <v>#REF!</v>
      </c>
      <c r="BX22" s="20" t="e">
        <f t="shared" si="9"/>
        <v>#REF!</v>
      </c>
      <c r="BY22" s="20" t="e">
        <f t="shared" si="10"/>
        <v>#REF!</v>
      </c>
      <c r="BZ22" s="3" t="e">
        <f>'Power Calculator'!#REF!</f>
        <v>#REF!</v>
      </c>
      <c r="CA22" s="3" t="e">
        <f>'Power Calculator'!#REF!</f>
        <v>#REF!</v>
      </c>
      <c r="CB22" s="3" t="e">
        <f>'Power Calculator'!#REF!</f>
        <v>#REF!</v>
      </c>
      <c r="CC22" s="3" t="e">
        <f>'Power Calculator'!#REF!</f>
        <v>#REF!</v>
      </c>
      <c r="CD22" s="20" t="e">
        <f t="shared" si="11"/>
        <v>#REF!</v>
      </c>
      <c r="CE22" s="20" t="e">
        <f t="shared" si="12"/>
        <v>#REF!</v>
      </c>
      <c r="CF22" s="3" t="e">
        <f>'Power Calculator'!#REF!</f>
        <v>#REF!</v>
      </c>
      <c r="CG22" s="3" t="e">
        <f>'Power Calculator'!#REF!</f>
        <v>#REF!</v>
      </c>
      <c r="CH22" s="3" t="e">
        <f>'Power Calculator'!#REF!</f>
        <v>#REF!</v>
      </c>
      <c r="CI22" s="3" t="e">
        <f>'Power Calculator'!#REF!</f>
        <v>#REF!</v>
      </c>
      <c r="CJ22" s="20" t="e">
        <f t="shared" si="13"/>
        <v>#REF!</v>
      </c>
      <c r="CK22" s="20" t="e">
        <f t="shared" si="14"/>
        <v>#REF!</v>
      </c>
      <c r="CL22" s="20" t="e">
        <f t="shared" si="15"/>
        <v>#REF!</v>
      </c>
      <c r="CM22" s="20" t="e">
        <f t="shared" si="16"/>
        <v>#REF!</v>
      </c>
      <c r="CN22" s="20" t="e">
        <f t="shared" si="17"/>
        <v>#REF!</v>
      </c>
      <c r="CO22" s="20" t="e">
        <f t="shared" si="18"/>
        <v>#REF!</v>
      </c>
      <c r="CP22" s="20" t="e">
        <f t="shared" si="19"/>
        <v>#REF!</v>
      </c>
      <c r="CQ22" s="20" t="e">
        <f t="shared" si="33"/>
        <v>#REF!</v>
      </c>
      <c r="CR22" s="20" t="e">
        <f t="shared" si="34"/>
        <v>#REF!</v>
      </c>
      <c r="CS22" s="20" t="e">
        <f t="shared" si="20"/>
        <v>#REF!</v>
      </c>
      <c r="CT22" s="20" t="e">
        <f t="shared" si="21"/>
        <v>#REF!</v>
      </c>
      <c r="CU22" s="20" t="e">
        <f t="shared" si="22"/>
        <v>#REF!</v>
      </c>
      <c r="CV22" s="20" t="e">
        <f t="shared" si="23"/>
        <v>#REF!</v>
      </c>
      <c r="CW22" s="20" t="e">
        <f t="shared" si="24"/>
        <v>#REF!</v>
      </c>
      <c r="CX22" s="20" t="e">
        <f t="shared" si="25"/>
        <v>#REF!</v>
      </c>
      <c r="CY22" s="20" t="e">
        <f t="shared" si="26"/>
        <v>#REF!</v>
      </c>
      <c r="CZ22" s="20" t="e">
        <f t="shared" si="27"/>
        <v>#REF!</v>
      </c>
      <c r="DA22" s="25" t="e">
        <f t="shared" si="28"/>
        <v>#REF!</v>
      </c>
      <c r="DB22" s="105">
        <f>'Power Calculator'!W22</f>
        <v>0</v>
      </c>
      <c r="DC22" s="17">
        <v>1.36047246044799E-3</v>
      </c>
      <c r="DD22" s="17">
        <v>2.07660877015537E-2</v>
      </c>
      <c r="DE22" s="17">
        <v>1.6501043189973901E-2</v>
      </c>
      <c r="DF22" s="17">
        <f t="shared" si="29"/>
        <v>4.6721662987524561E-3</v>
      </c>
      <c r="DG22" s="17">
        <f t="shared" si="3"/>
        <v>3.0561929309582628E-3</v>
      </c>
      <c r="DH22" s="17">
        <v>9.0014402195631593</v>
      </c>
      <c r="DI22" s="17">
        <f t="shared" si="4"/>
        <v>6.0783322292533928E-3</v>
      </c>
      <c r="DJ22" s="17">
        <f t="shared" si="5"/>
        <v>7.4844981597543287E-3</v>
      </c>
      <c r="DK22" s="17">
        <v>8.23060568309779E-2</v>
      </c>
      <c r="DL22" s="17">
        <v>2.5933735167583401E-2</v>
      </c>
      <c r="DM22" s="17">
        <f t="shared" si="6"/>
        <v>1.112469759262385E-2</v>
      </c>
      <c r="DN22" s="17">
        <f t="shared" si="7"/>
        <v>8.8906640902552646E-3</v>
      </c>
      <c r="DO22" s="17">
        <v>1.02968300207562E-2</v>
      </c>
      <c r="DP22" s="17">
        <v>1.19525651644915E-2</v>
      </c>
      <c r="DQ22" s="17">
        <v>8.1455889827933003E-3</v>
      </c>
      <c r="DR22" s="17">
        <v>1.1091997343108E-3</v>
      </c>
      <c r="DS22" s="17">
        <v>0.5</v>
      </c>
      <c r="DT22" s="114">
        <f>IF('Power Calculator'!T22="Yes",VLOOKUP('Power Calculator'!V22,Lists!$AD$3:$AE$8,2,FALSE),0)</f>
        <v>0</v>
      </c>
      <c r="DU22" s="114" t="e">
        <f>VLOOKUP('Power Calculator'!U22,Lists!$J$4:$K$5,2,FALSE)</f>
        <v>#N/A</v>
      </c>
      <c r="DV22" s="114" t="e">
        <f t="shared" si="30"/>
        <v>#N/A</v>
      </c>
      <c r="DW22" s="115">
        <v>5.5E-2</v>
      </c>
      <c r="DX22" s="114" t="e">
        <f t="shared" si="31"/>
        <v>#REF!</v>
      </c>
      <c r="DY22" s="6"/>
      <c r="DZ22" s="12" t="e">
        <f t="shared" si="32"/>
        <v>#REF!</v>
      </c>
      <c r="EA22" s="6"/>
    </row>
    <row r="23" spans="63:141">
      <c r="BK23" s="6"/>
      <c r="BL23" s="3" t="e">
        <f>'Power Calculator'!#REF!</f>
        <v>#REF!</v>
      </c>
      <c r="BM23" s="3" t="e">
        <f>'Power Calculator'!#REF!</f>
        <v>#REF!</v>
      </c>
      <c r="BN23" s="3" t="e">
        <f>'Power Calculator'!#REF!</f>
        <v>#REF!</v>
      </c>
      <c r="BO23" s="20"/>
      <c r="BP23" s="3" t="e">
        <f>'Power Calculator'!#REF!</f>
        <v>#REF!</v>
      </c>
      <c r="BQ23" s="20">
        <v>2</v>
      </c>
      <c r="BR23" s="20">
        <v>2</v>
      </c>
      <c r="BS23" s="20" t="e">
        <f t="shared" si="8"/>
        <v>#REF!</v>
      </c>
      <c r="BT23" s="3" t="e">
        <f>'Power Calculator'!#REF!</f>
        <v>#REF!</v>
      </c>
      <c r="BU23" s="3" t="e">
        <f>'Power Calculator'!#REF!</f>
        <v>#REF!</v>
      </c>
      <c r="BV23" s="3" t="e">
        <f>'Power Calculator'!#REF!</f>
        <v>#REF!</v>
      </c>
      <c r="BW23" s="3" t="e">
        <f>'Power Calculator'!#REF!</f>
        <v>#REF!</v>
      </c>
      <c r="BX23" s="20" t="e">
        <f t="shared" si="9"/>
        <v>#REF!</v>
      </c>
      <c r="BY23" s="20" t="e">
        <f t="shared" si="10"/>
        <v>#REF!</v>
      </c>
      <c r="BZ23" s="3" t="e">
        <f>'Power Calculator'!#REF!</f>
        <v>#REF!</v>
      </c>
      <c r="CA23" s="3" t="e">
        <f>'Power Calculator'!#REF!</f>
        <v>#REF!</v>
      </c>
      <c r="CB23" s="3" t="e">
        <f>'Power Calculator'!#REF!</f>
        <v>#REF!</v>
      </c>
      <c r="CC23" s="3" t="e">
        <f>'Power Calculator'!#REF!</f>
        <v>#REF!</v>
      </c>
      <c r="CD23" s="20" t="e">
        <f t="shared" si="11"/>
        <v>#REF!</v>
      </c>
      <c r="CE23" s="20" t="e">
        <f t="shared" si="12"/>
        <v>#REF!</v>
      </c>
      <c r="CF23" s="3" t="e">
        <f>'Power Calculator'!#REF!</f>
        <v>#REF!</v>
      </c>
      <c r="CG23" s="3" t="e">
        <f>'Power Calculator'!#REF!</f>
        <v>#REF!</v>
      </c>
      <c r="CH23" s="3" t="e">
        <f>'Power Calculator'!#REF!</f>
        <v>#REF!</v>
      </c>
      <c r="CI23" s="3" t="e">
        <f>'Power Calculator'!#REF!</f>
        <v>#REF!</v>
      </c>
      <c r="CJ23" s="20" t="e">
        <f t="shared" si="13"/>
        <v>#REF!</v>
      </c>
      <c r="CK23" s="20" t="e">
        <f t="shared" si="14"/>
        <v>#REF!</v>
      </c>
      <c r="CL23" s="20" t="e">
        <f t="shared" si="15"/>
        <v>#REF!</v>
      </c>
      <c r="CM23" s="20" t="e">
        <f t="shared" si="16"/>
        <v>#REF!</v>
      </c>
      <c r="CN23" s="20" t="e">
        <f t="shared" si="17"/>
        <v>#REF!</v>
      </c>
      <c r="CO23" s="20" t="e">
        <f t="shared" si="18"/>
        <v>#REF!</v>
      </c>
      <c r="CP23" s="20" t="e">
        <f t="shared" si="19"/>
        <v>#REF!</v>
      </c>
      <c r="CQ23" s="20" t="e">
        <f t="shared" si="33"/>
        <v>#REF!</v>
      </c>
      <c r="CR23" s="20" t="e">
        <f t="shared" si="34"/>
        <v>#REF!</v>
      </c>
      <c r="CS23" s="20" t="e">
        <f t="shared" si="20"/>
        <v>#REF!</v>
      </c>
      <c r="CT23" s="20" t="e">
        <f t="shared" si="21"/>
        <v>#REF!</v>
      </c>
      <c r="CU23" s="20" t="e">
        <f t="shared" si="22"/>
        <v>#REF!</v>
      </c>
      <c r="CV23" s="20" t="e">
        <f t="shared" si="23"/>
        <v>#REF!</v>
      </c>
      <c r="CW23" s="20" t="e">
        <f t="shared" si="24"/>
        <v>#REF!</v>
      </c>
      <c r="CX23" s="20" t="e">
        <f t="shared" si="25"/>
        <v>#REF!</v>
      </c>
      <c r="CY23" s="20" t="e">
        <f t="shared" si="26"/>
        <v>#REF!</v>
      </c>
      <c r="CZ23" s="20" t="e">
        <f t="shared" si="27"/>
        <v>#REF!</v>
      </c>
      <c r="DA23" s="25" t="e">
        <f t="shared" si="28"/>
        <v>#REF!</v>
      </c>
      <c r="DB23" s="105">
        <f>'Power Calculator'!W23</f>
        <v>0</v>
      </c>
      <c r="DC23" s="17">
        <v>1.36047246044799E-3</v>
      </c>
      <c r="DD23" s="17">
        <v>2.07660877015537E-2</v>
      </c>
      <c r="DE23" s="17">
        <v>1.6501043189973901E-2</v>
      </c>
      <c r="DF23" s="17">
        <f t="shared" si="29"/>
        <v>4.6721662987524561E-3</v>
      </c>
      <c r="DG23" s="17">
        <f t="shared" si="3"/>
        <v>3.0561929309582628E-3</v>
      </c>
      <c r="DH23" s="17">
        <v>10.0014402195632</v>
      </c>
      <c r="DI23" s="17">
        <f t="shared" si="4"/>
        <v>6.0783322292533928E-3</v>
      </c>
      <c r="DJ23" s="17">
        <f t="shared" si="5"/>
        <v>7.4844981597543287E-3</v>
      </c>
      <c r="DK23" s="17">
        <v>8.23060568309779E-2</v>
      </c>
      <c r="DL23" s="17">
        <v>2.5933735167583401E-2</v>
      </c>
      <c r="DM23" s="17">
        <f t="shared" si="6"/>
        <v>1.112469759262385E-2</v>
      </c>
      <c r="DN23" s="17">
        <f t="shared" si="7"/>
        <v>8.8906640902552646E-3</v>
      </c>
      <c r="DO23" s="17">
        <v>1.02968300207562E-2</v>
      </c>
      <c r="DP23" s="17">
        <v>1.19525651644915E-2</v>
      </c>
      <c r="DQ23" s="17">
        <v>8.1455889827933003E-3</v>
      </c>
      <c r="DR23" s="17">
        <v>1.1091997343108E-3</v>
      </c>
      <c r="DS23" s="17">
        <v>0.5</v>
      </c>
      <c r="DT23" s="114">
        <f>IF('Power Calculator'!T23="Yes",VLOOKUP('Power Calculator'!V23,Lists!$AD$3:$AE$8,2,FALSE),0)</f>
        <v>0</v>
      </c>
      <c r="DU23" s="114" t="e">
        <f>VLOOKUP('Power Calculator'!U23,Lists!$J$4:$K$5,2,FALSE)</f>
        <v>#N/A</v>
      </c>
      <c r="DV23" s="114" t="e">
        <f t="shared" si="30"/>
        <v>#N/A</v>
      </c>
      <c r="DW23" s="115">
        <v>5.5E-2</v>
      </c>
      <c r="DX23" s="114" t="e">
        <f t="shared" si="31"/>
        <v>#REF!</v>
      </c>
      <c r="DY23" s="6"/>
      <c r="DZ23" s="12" t="e">
        <f t="shared" si="32"/>
        <v>#REF!</v>
      </c>
      <c r="EA23" s="6"/>
    </row>
    <row r="24" spans="63:141">
      <c r="BK24" s="6"/>
      <c r="BL24" s="3" t="e">
        <f>'Power Calculator'!#REF!</f>
        <v>#REF!</v>
      </c>
      <c r="BM24" s="3" t="e">
        <f>'Power Calculator'!#REF!</f>
        <v>#REF!</v>
      </c>
      <c r="BN24" s="3" t="e">
        <f>'Power Calculator'!#REF!</f>
        <v>#REF!</v>
      </c>
      <c r="BO24" s="20"/>
      <c r="BP24" s="3" t="e">
        <f>'Power Calculator'!#REF!</f>
        <v>#REF!</v>
      </c>
      <c r="BQ24" s="20">
        <v>2</v>
      </c>
      <c r="BR24" s="20">
        <v>2</v>
      </c>
      <c r="BS24" s="20" t="e">
        <f t="shared" si="8"/>
        <v>#REF!</v>
      </c>
      <c r="BT24" s="3" t="e">
        <f>'Power Calculator'!#REF!</f>
        <v>#REF!</v>
      </c>
      <c r="BU24" s="3" t="e">
        <f>'Power Calculator'!#REF!</f>
        <v>#REF!</v>
      </c>
      <c r="BV24" s="3" t="e">
        <f>'Power Calculator'!#REF!</f>
        <v>#REF!</v>
      </c>
      <c r="BW24" s="3" t="e">
        <f>'Power Calculator'!#REF!</f>
        <v>#REF!</v>
      </c>
      <c r="BX24" s="20" t="e">
        <f t="shared" si="9"/>
        <v>#REF!</v>
      </c>
      <c r="BY24" s="20" t="e">
        <f t="shared" si="10"/>
        <v>#REF!</v>
      </c>
      <c r="BZ24" s="3" t="e">
        <f>'Power Calculator'!#REF!</f>
        <v>#REF!</v>
      </c>
      <c r="CA24" s="3" t="e">
        <f>'Power Calculator'!#REF!</f>
        <v>#REF!</v>
      </c>
      <c r="CB24" s="3" t="e">
        <f>'Power Calculator'!#REF!</f>
        <v>#REF!</v>
      </c>
      <c r="CC24" s="3" t="e">
        <f>'Power Calculator'!#REF!</f>
        <v>#REF!</v>
      </c>
      <c r="CD24" s="20" t="e">
        <f t="shared" si="11"/>
        <v>#REF!</v>
      </c>
      <c r="CE24" s="20" t="e">
        <f t="shared" si="12"/>
        <v>#REF!</v>
      </c>
      <c r="CF24" s="3" t="e">
        <f>'Power Calculator'!#REF!</f>
        <v>#REF!</v>
      </c>
      <c r="CG24" s="3" t="e">
        <f>'Power Calculator'!#REF!</f>
        <v>#REF!</v>
      </c>
      <c r="CH24" s="3" t="e">
        <f>'Power Calculator'!#REF!</f>
        <v>#REF!</v>
      </c>
      <c r="CI24" s="3" t="e">
        <f>'Power Calculator'!#REF!</f>
        <v>#REF!</v>
      </c>
      <c r="CJ24" s="20" t="e">
        <f t="shared" si="13"/>
        <v>#REF!</v>
      </c>
      <c r="CK24" s="20" t="e">
        <f t="shared" si="14"/>
        <v>#REF!</v>
      </c>
      <c r="CL24" s="20" t="e">
        <f t="shared" si="15"/>
        <v>#REF!</v>
      </c>
      <c r="CM24" s="20" t="e">
        <f t="shared" si="16"/>
        <v>#REF!</v>
      </c>
      <c r="CN24" s="20" t="e">
        <f t="shared" si="17"/>
        <v>#REF!</v>
      </c>
      <c r="CO24" s="20" t="e">
        <f t="shared" si="18"/>
        <v>#REF!</v>
      </c>
      <c r="CP24" s="20" t="e">
        <f t="shared" si="19"/>
        <v>#REF!</v>
      </c>
      <c r="CQ24" s="20" t="e">
        <f t="shared" si="33"/>
        <v>#REF!</v>
      </c>
      <c r="CR24" s="20" t="e">
        <f t="shared" si="34"/>
        <v>#REF!</v>
      </c>
      <c r="CS24" s="20" t="e">
        <f t="shared" si="20"/>
        <v>#REF!</v>
      </c>
      <c r="CT24" s="20" t="e">
        <f t="shared" si="21"/>
        <v>#REF!</v>
      </c>
      <c r="CU24" s="20" t="e">
        <f t="shared" si="22"/>
        <v>#REF!</v>
      </c>
      <c r="CV24" s="20" t="e">
        <f t="shared" si="23"/>
        <v>#REF!</v>
      </c>
      <c r="CW24" s="20" t="e">
        <f t="shared" si="24"/>
        <v>#REF!</v>
      </c>
      <c r="CX24" s="20" t="e">
        <f t="shared" si="25"/>
        <v>#REF!</v>
      </c>
      <c r="CY24" s="20" t="e">
        <f t="shared" si="26"/>
        <v>#REF!</v>
      </c>
      <c r="CZ24" s="20" t="e">
        <f t="shared" si="27"/>
        <v>#REF!</v>
      </c>
      <c r="DA24" s="25" t="e">
        <f t="shared" si="28"/>
        <v>#REF!</v>
      </c>
      <c r="DB24" s="105">
        <f>'Power Calculator'!W24</f>
        <v>0</v>
      </c>
      <c r="DC24" s="17">
        <v>1.36047246044799E-3</v>
      </c>
      <c r="DD24" s="17">
        <v>2.07660877015537E-2</v>
      </c>
      <c r="DE24" s="17">
        <v>1.6501043189973901E-2</v>
      </c>
      <c r="DF24" s="17">
        <f t="shared" si="29"/>
        <v>4.6721662987524561E-3</v>
      </c>
      <c r="DG24" s="17">
        <f t="shared" si="3"/>
        <v>3.0561929309582628E-3</v>
      </c>
      <c r="DH24" s="17">
        <v>11.0014402195632</v>
      </c>
      <c r="DI24" s="17">
        <f t="shared" si="4"/>
        <v>6.0783322292533928E-3</v>
      </c>
      <c r="DJ24" s="17">
        <f t="shared" si="5"/>
        <v>7.4844981597543287E-3</v>
      </c>
      <c r="DK24" s="17">
        <v>8.23060568309779E-2</v>
      </c>
      <c r="DL24" s="17">
        <v>2.5933735167583401E-2</v>
      </c>
      <c r="DM24" s="17">
        <f t="shared" si="6"/>
        <v>1.112469759262385E-2</v>
      </c>
      <c r="DN24" s="17">
        <f t="shared" si="7"/>
        <v>8.8906640902552646E-3</v>
      </c>
      <c r="DO24" s="17">
        <v>1.02968300207562E-2</v>
      </c>
      <c r="DP24" s="17">
        <v>1.19525651644915E-2</v>
      </c>
      <c r="DQ24" s="17">
        <v>8.1455889827933003E-3</v>
      </c>
      <c r="DR24" s="17">
        <v>1.1091997343108E-3</v>
      </c>
      <c r="DS24" s="17">
        <v>0.5</v>
      </c>
      <c r="DT24" s="114">
        <f>IF('Power Calculator'!T24="Yes",VLOOKUP('Power Calculator'!V24,Lists!$AD$3:$AE$8,2,FALSE),0)</f>
        <v>0</v>
      </c>
      <c r="DU24" s="114" t="e">
        <f>VLOOKUP('Power Calculator'!U24,Lists!$J$4:$K$5,2,FALSE)</f>
        <v>#N/A</v>
      </c>
      <c r="DV24" s="114" t="e">
        <f t="shared" si="30"/>
        <v>#N/A</v>
      </c>
      <c r="DW24" s="115">
        <v>5.5E-2</v>
      </c>
      <c r="DX24" s="114" t="e">
        <f t="shared" si="31"/>
        <v>#REF!</v>
      </c>
      <c r="DY24" s="6"/>
      <c r="DZ24" s="12" t="e">
        <f t="shared" si="32"/>
        <v>#REF!</v>
      </c>
      <c r="EA24" s="6"/>
    </row>
    <row r="25" spans="63:141">
      <c r="BK25" s="6"/>
      <c r="BL25" s="3" t="e">
        <f>'Power Calculator'!#REF!</f>
        <v>#REF!</v>
      </c>
      <c r="BM25" s="3" t="e">
        <f>'Power Calculator'!#REF!</f>
        <v>#REF!</v>
      </c>
      <c r="BN25" s="3" t="e">
        <f>'Power Calculator'!#REF!</f>
        <v>#REF!</v>
      </c>
      <c r="BO25" s="20"/>
      <c r="BP25" s="3" t="e">
        <f>'Power Calculator'!#REF!</f>
        <v>#REF!</v>
      </c>
      <c r="BQ25" s="20">
        <v>2</v>
      </c>
      <c r="BR25" s="20">
        <v>2</v>
      </c>
      <c r="BS25" s="20" t="e">
        <f t="shared" si="8"/>
        <v>#REF!</v>
      </c>
      <c r="BT25" s="3" t="e">
        <f>'Power Calculator'!#REF!</f>
        <v>#REF!</v>
      </c>
      <c r="BU25" s="3" t="e">
        <f>'Power Calculator'!#REF!</f>
        <v>#REF!</v>
      </c>
      <c r="BV25" s="3" t="e">
        <f>'Power Calculator'!#REF!</f>
        <v>#REF!</v>
      </c>
      <c r="BW25" s="3" t="e">
        <f>'Power Calculator'!#REF!</f>
        <v>#REF!</v>
      </c>
      <c r="BX25" s="20" t="e">
        <f t="shared" si="9"/>
        <v>#REF!</v>
      </c>
      <c r="BY25" s="20" t="e">
        <f t="shared" si="10"/>
        <v>#REF!</v>
      </c>
      <c r="BZ25" s="3" t="e">
        <f>'Power Calculator'!#REF!</f>
        <v>#REF!</v>
      </c>
      <c r="CA25" s="3" t="e">
        <f>'Power Calculator'!#REF!</f>
        <v>#REF!</v>
      </c>
      <c r="CB25" s="3" t="e">
        <f>'Power Calculator'!#REF!</f>
        <v>#REF!</v>
      </c>
      <c r="CC25" s="3" t="e">
        <f>'Power Calculator'!#REF!</f>
        <v>#REF!</v>
      </c>
      <c r="CD25" s="20" t="e">
        <f t="shared" si="11"/>
        <v>#REF!</v>
      </c>
      <c r="CE25" s="20" t="e">
        <f t="shared" si="12"/>
        <v>#REF!</v>
      </c>
      <c r="CF25" s="3" t="e">
        <f>'Power Calculator'!#REF!</f>
        <v>#REF!</v>
      </c>
      <c r="CG25" s="3" t="e">
        <f>'Power Calculator'!#REF!</f>
        <v>#REF!</v>
      </c>
      <c r="CH25" s="3" t="e">
        <f>'Power Calculator'!#REF!</f>
        <v>#REF!</v>
      </c>
      <c r="CI25" s="3" t="e">
        <f>'Power Calculator'!#REF!</f>
        <v>#REF!</v>
      </c>
      <c r="CJ25" s="20" t="e">
        <f t="shared" si="13"/>
        <v>#REF!</v>
      </c>
      <c r="CK25" s="20" t="e">
        <f t="shared" si="14"/>
        <v>#REF!</v>
      </c>
      <c r="CL25" s="20" t="e">
        <f t="shared" si="15"/>
        <v>#REF!</v>
      </c>
      <c r="CM25" s="20" t="e">
        <f t="shared" si="16"/>
        <v>#REF!</v>
      </c>
      <c r="CN25" s="20" t="e">
        <f t="shared" si="17"/>
        <v>#REF!</v>
      </c>
      <c r="CO25" s="20" t="e">
        <f t="shared" si="18"/>
        <v>#REF!</v>
      </c>
      <c r="CP25" s="20" t="e">
        <f t="shared" si="19"/>
        <v>#REF!</v>
      </c>
      <c r="CQ25" s="20" t="e">
        <f t="shared" si="33"/>
        <v>#REF!</v>
      </c>
      <c r="CR25" s="20" t="e">
        <f t="shared" si="34"/>
        <v>#REF!</v>
      </c>
      <c r="CS25" s="20" t="e">
        <f t="shared" si="20"/>
        <v>#REF!</v>
      </c>
      <c r="CT25" s="20" t="e">
        <f t="shared" si="21"/>
        <v>#REF!</v>
      </c>
      <c r="CU25" s="20" t="e">
        <f t="shared" si="22"/>
        <v>#REF!</v>
      </c>
      <c r="CV25" s="20" t="e">
        <f t="shared" si="23"/>
        <v>#REF!</v>
      </c>
      <c r="CW25" s="20" t="e">
        <f t="shared" si="24"/>
        <v>#REF!</v>
      </c>
      <c r="CX25" s="20" t="e">
        <f t="shared" si="25"/>
        <v>#REF!</v>
      </c>
      <c r="CY25" s="20" t="e">
        <f t="shared" si="26"/>
        <v>#REF!</v>
      </c>
      <c r="CZ25" s="20" t="e">
        <f t="shared" si="27"/>
        <v>#REF!</v>
      </c>
      <c r="DA25" s="25" t="e">
        <f t="shared" si="28"/>
        <v>#REF!</v>
      </c>
      <c r="DB25" s="105">
        <f>'Power Calculator'!W25</f>
        <v>0</v>
      </c>
      <c r="DC25" s="17">
        <v>1.36047246044799E-3</v>
      </c>
      <c r="DD25" s="17">
        <v>2.07660877015537E-2</v>
      </c>
      <c r="DE25" s="17">
        <v>1.6501043189973901E-2</v>
      </c>
      <c r="DF25" s="17">
        <f t="shared" si="29"/>
        <v>4.6721662987524561E-3</v>
      </c>
      <c r="DG25" s="17">
        <f t="shared" si="3"/>
        <v>3.0561929309582628E-3</v>
      </c>
      <c r="DH25" s="17">
        <v>12.0014402195632</v>
      </c>
      <c r="DI25" s="17">
        <f t="shared" si="4"/>
        <v>6.0783322292533928E-3</v>
      </c>
      <c r="DJ25" s="17">
        <f t="shared" si="5"/>
        <v>7.4844981597543287E-3</v>
      </c>
      <c r="DK25" s="17">
        <v>8.23060568309779E-2</v>
      </c>
      <c r="DL25" s="17">
        <v>2.5933735167583401E-2</v>
      </c>
      <c r="DM25" s="17">
        <f t="shared" si="6"/>
        <v>1.112469759262385E-2</v>
      </c>
      <c r="DN25" s="17">
        <f t="shared" si="7"/>
        <v>8.8906640902552646E-3</v>
      </c>
      <c r="DO25" s="17">
        <v>1.02968300207562E-2</v>
      </c>
      <c r="DP25" s="17">
        <v>1.19525651644915E-2</v>
      </c>
      <c r="DQ25" s="17">
        <v>8.1455889827933003E-3</v>
      </c>
      <c r="DR25" s="17">
        <v>1.1091997343108E-3</v>
      </c>
      <c r="DS25" s="17">
        <v>0.5</v>
      </c>
      <c r="DT25" s="114">
        <f>IF('Power Calculator'!T25="Yes",VLOOKUP('Power Calculator'!V25,Lists!$AD$3:$AE$8,2,FALSE),0)</f>
        <v>0</v>
      </c>
      <c r="DU25" s="114" t="e">
        <f>VLOOKUP('Power Calculator'!U25,Lists!$J$4:$K$5,2,FALSE)</f>
        <v>#N/A</v>
      </c>
      <c r="DV25" s="114" t="e">
        <f t="shared" si="30"/>
        <v>#N/A</v>
      </c>
      <c r="DW25" s="115">
        <v>5.5E-2</v>
      </c>
      <c r="DX25" s="114" t="e">
        <f t="shared" si="31"/>
        <v>#REF!</v>
      </c>
      <c r="DY25" s="6"/>
      <c r="DZ25" s="12" t="e">
        <f t="shared" si="32"/>
        <v>#REF!</v>
      </c>
      <c r="EA25" s="6"/>
    </row>
    <row r="26" spans="63:141">
      <c r="BK26" s="6"/>
      <c r="BL26" s="3" t="e">
        <f>'Power Calculator'!#REF!</f>
        <v>#REF!</v>
      </c>
      <c r="BM26" s="3" t="e">
        <f>'Power Calculator'!#REF!</f>
        <v>#REF!</v>
      </c>
      <c r="BN26" s="3" t="e">
        <f>'Power Calculator'!#REF!</f>
        <v>#REF!</v>
      </c>
      <c r="BO26" s="20"/>
      <c r="BP26" s="3" t="e">
        <f>'Power Calculator'!#REF!</f>
        <v>#REF!</v>
      </c>
      <c r="BQ26" s="20">
        <v>2</v>
      </c>
      <c r="BR26" s="20">
        <v>2</v>
      </c>
      <c r="BS26" s="20" t="e">
        <f t="shared" si="8"/>
        <v>#REF!</v>
      </c>
      <c r="BT26" s="3" t="e">
        <f>'Power Calculator'!#REF!</f>
        <v>#REF!</v>
      </c>
      <c r="BU26" s="3" t="e">
        <f>'Power Calculator'!#REF!</f>
        <v>#REF!</v>
      </c>
      <c r="BV26" s="3" t="e">
        <f>'Power Calculator'!#REF!</f>
        <v>#REF!</v>
      </c>
      <c r="BW26" s="3" t="e">
        <f>'Power Calculator'!#REF!</f>
        <v>#REF!</v>
      </c>
      <c r="BX26" s="20" t="e">
        <f t="shared" si="9"/>
        <v>#REF!</v>
      </c>
      <c r="BY26" s="20" t="e">
        <f t="shared" si="10"/>
        <v>#REF!</v>
      </c>
      <c r="BZ26" s="3" t="e">
        <f>'Power Calculator'!#REF!</f>
        <v>#REF!</v>
      </c>
      <c r="CA26" s="3" t="e">
        <f>'Power Calculator'!#REF!</f>
        <v>#REF!</v>
      </c>
      <c r="CB26" s="3" t="e">
        <f>'Power Calculator'!#REF!</f>
        <v>#REF!</v>
      </c>
      <c r="CC26" s="3" t="e">
        <f>'Power Calculator'!#REF!</f>
        <v>#REF!</v>
      </c>
      <c r="CD26" s="20" t="e">
        <f t="shared" si="11"/>
        <v>#REF!</v>
      </c>
      <c r="CE26" s="20" t="e">
        <f t="shared" si="12"/>
        <v>#REF!</v>
      </c>
      <c r="CF26" s="3" t="e">
        <f>'Power Calculator'!#REF!</f>
        <v>#REF!</v>
      </c>
      <c r="CG26" s="3" t="e">
        <f>'Power Calculator'!#REF!</f>
        <v>#REF!</v>
      </c>
      <c r="CH26" s="3" t="e">
        <f>'Power Calculator'!#REF!</f>
        <v>#REF!</v>
      </c>
      <c r="CI26" s="3" t="e">
        <f>'Power Calculator'!#REF!</f>
        <v>#REF!</v>
      </c>
      <c r="CJ26" s="20" t="e">
        <f t="shared" si="13"/>
        <v>#REF!</v>
      </c>
      <c r="CK26" s="20" t="e">
        <f t="shared" si="14"/>
        <v>#REF!</v>
      </c>
      <c r="CL26" s="20" t="e">
        <f t="shared" si="15"/>
        <v>#REF!</v>
      </c>
      <c r="CM26" s="20" t="e">
        <f t="shared" si="16"/>
        <v>#REF!</v>
      </c>
      <c r="CN26" s="20" t="e">
        <f t="shared" si="17"/>
        <v>#REF!</v>
      </c>
      <c r="CO26" s="20" t="e">
        <f t="shared" si="18"/>
        <v>#REF!</v>
      </c>
      <c r="CP26" s="20" t="e">
        <f t="shared" si="19"/>
        <v>#REF!</v>
      </c>
      <c r="CQ26" s="20" t="e">
        <f t="shared" si="33"/>
        <v>#REF!</v>
      </c>
      <c r="CR26" s="20" t="e">
        <f t="shared" si="34"/>
        <v>#REF!</v>
      </c>
      <c r="CS26" s="20" t="e">
        <f t="shared" si="20"/>
        <v>#REF!</v>
      </c>
      <c r="CT26" s="20" t="e">
        <f t="shared" si="21"/>
        <v>#REF!</v>
      </c>
      <c r="CU26" s="20" t="e">
        <f t="shared" si="22"/>
        <v>#REF!</v>
      </c>
      <c r="CV26" s="20" t="e">
        <f t="shared" si="23"/>
        <v>#REF!</v>
      </c>
      <c r="CW26" s="20" t="e">
        <f t="shared" si="24"/>
        <v>#REF!</v>
      </c>
      <c r="CX26" s="20" t="e">
        <f t="shared" si="25"/>
        <v>#REF!</v>
      </c>
      <c r="CY26" s="20" t="e">
        <f t="shared" si="26"/>
        <v>#REF!</v>
      </c>
      <c r="CZ26" s="20" t="e">
        <f t="shared" si="27"/>
        <v>#REF!</v>
      </c>
      <c r="DA26" s="25" t="e">
        <f t="shared" si="28"/>
        <v>#REF!</v>
      </c>
      <c r="DB26" s="105">
        <f>'Power Calculator'!W26</f>
        <v>0</v>
      </c>
      <c r="DC26" s="17">
        <v>1.36047246044799E-3</v>
      </c>
      <c r="DD26" s="17">
        <v>2.07660877015537E-2</v>
      </c>
      <c r="DE26" s="17">
        <v>1.6501043189973901E-2</v>
      </c>
      <c r="DF26" s="17">
        <f t="shared" si="29"/>
        <v>4.6721662987524561E-3</v>
      </c>
      <c r="DG26" s="17">
        <f t="shared" si="3"/>
        <v>3.0561929309582628E-3</v>
      </c>
      <c r="DH26" s="17">
        <v>13.0014402195632</v>
      </c>
      <c r="DI26" s="17">
        <f t="shared" si="4"/>
        <v>6.0783322292533928E-3</v>
      </c>
      <c r="DJ26" s="17">
        <f t="shared" si="5"/>
        <v>7.4844981597543287E-3</v>
      </c>
      <c r="DK26" s="17">
        <v>8.23060568309779E-2</v>
      </c>
      <c r="DL26" s="17">
        <v>2.5933735167583401E-2</v>
      </c>
      <c r="DM26" s="17">
        <f t="shared" si="6"/>
        <v>1.112469759262385E-2</v>
      </c>
      <c r="DN26" s="17">
        <f t="shared" si="7"/>
        <v>8.8906640902552646E-3</v>
      </c>
      <c r="DO26" s="17">
        <v>1.02968300207562E-2</v>
      </c>
      <c r="DP26" s="17">
        <v>1.19525651644915E-2</v>
      </c>
      <c r="DQ26" s="17">
        <v>8.1455889827933003E-3</v>
      </c>
      <c r="DR26" s="17">
        <v>1.1091997343108E-3</v>
      </c>
      <c r="DS26" s="17">
        <v>0.5</v>
      </c>
      <c r="DT26" s="114">
        <f>IF('Power Calculator'!T26="Yes",VLOOKUP('Power Calculator'!V26,Lists!$AD$3:$AE$8,2,FALSE),0)</f>
        <v>0</v>
      </c>
      <c r="DU26" s="114" t="e">
        <f>VLOOKUP('Power Calculator'!U26,Lists!$J$4:$K$5,2,FALSE)</f>
        <v>#N/A</v>
      </c>
      <c r="DV26" s="114" t="e">
        <f t="shared" si="30"/>
        <v>#N/A</v>
      </c>
      <c r="DW26" s="115">
        <v>5.5E-2</v>
      </c>
      <c r="DX26" s="114" t="e">
        <f t="shared" si="31"/>
        <v>#REF!</v>
      </c>
      <c r="DY26" s="6"/>
      <c r="DZ26" s="12" t="e">
        <f t="shared" si="32"/>
        <v>#REF!</v>
      </c>
      <c r="EA26" s="6"/>
    </row>
    <row r="27" spans="63:141">
      <c r="BK27" s="6"/>
      <c r="BL27" s="6"/>
      <c r="BM27" s="6"/>
      <c r="BN27" s="6"/>
      <c r="BP27" s="6"/>
      <c r="BT27" s="6"/>
      <c r="BU27" s="6"/>
      <c r="BV27" s="6"/>
      <c r="BW27" s="6"/>
      <c r="BZ27" s="6"/>
      <c r="CA27" s="6"/>
      <c r="CB27" s="6"/>
      <c r="CC27" s="6"/>
      <c r="CF27" s="6"/>
      <c r="CG27" s="6"/>
      <c r="CH27" s="6"/>
      <c r="CI27" s="6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Y27" s="6"/>
      <c r="DZ27" s="6"/>
      <c r="EA27" s="6"/>
    </row>
    <row r="28" spans="63:141" s="6" customFormat="1">
      <c r="BO28" s="17"/>
      <c r="BQ28" s="17"/>
      <c r="BR28" s="17"/>
      <c r="BS28" s="17"/>
      <c r="BX28" s="17"/>
      <c r="BY28" s="17"/>
      <c r="CD28" s="17"/>
      <c r="CE28" s="17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</row>
  </sheetData>
  <mergeCells count="7">
    <mergeCell ref="BL6:CJ7"/>
    <mergeCell ref="BL8:CI8"/>
    <mergeCell ref="BL10:CI10"/>
    <mergeCell ref="BL11:BP11"/>
    <mergeCell ref="BT11:BW11"/>
    <mergeCell ref="BZ11:CC11"/>
    <mergeCell ref="CF11:CI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E67"/>
  <sheetViews>
    <sheetView topLeftCell="AA1" zoomScale="90" zoomScaleNormal="90" workbookViewId="0">
      <selection activeCell="AJ6" sqref="AJ6"/>
    </sheetView>
  </sheetViews>
  <sheetFormatPr defaultColWidth="8.85546875" defaultRowHeight="15"/>
  <cols>
    <col min="2" max="2" width="16.7109375" customWidth="1"/>
    <col min="3" max="3" width="13.140625" customWidth="1"/>
    <col min="4" max="4" width="15.7109375" customWidth="1"/>
    <col min="5" max="5" width="16.42578125" customWidth="1"/>
    <col min="7" max="7" width="12.42578125" bestFit="1" customWidth="1"/>
    <col min="8" max="8" width="12.42578125" customWidth="1"/>
    <col min="11" max="11" width="9.85546875" customWidth="1"/>
    <col min="12" max="12" width="18.42578125" customWidth="1"/>
    <col min="21" max="21" width="45.28515625" customWidth="1"/>
    <col min="25" max="25" width="9.7109375" customWidth="1"/>
    <col min="26" max="26" width="12.42578125" bestFit="1" customWidth="1"/>
    <col min="27" max="28" width="11.28515625" bestFit="1" customWidth="1"/>
    <col min="35" max="35" width="16" customWidth="1"/>
  </cols>
  <sheetData>
    <row r="1" spans="1:31">
      <c r="A1" t="s">
        <v>113</v>
      </c>
      <c r="B1" t="s">
        <v>40</v>
      </c>
      <c r="C1" t="s">
        <v>37</v>
      </c>
      <c r="D1" t="s">
        <v>141</v>
      </c>
      <c r="E1" t="s">
        <v>142</v>
      </c>
      <c r="F1" t="s">
        <v>143</v>
      </c>
      <c r="G1" t="s">
        <v>36</v>
      </c>
      <c r="I1" t="s">
        <v>144</v>
      </c>
    </row>
    <row r="2" spans="1:31">
      <c r="B2">
        <v>0</v>
      </c>
      <c r="G2" t="s">
        <v>66</v>
      </c>
      <c r="Y2" s="29" t="s">
        <v>16</v>
      </c>
      <c r="Z2" s="30"/>
      <c r="AA2" s="31"/>
      <c r="AC2" s="43" t="s">
        <v>46</v>
      </c>
      <c r="AD2" s="39"/>
      <c r="AE2" s="40"/>
    </row>
    <row r="3" spans="1:31">
      <c r="A3" s="5">
        <v>0.5</v>
      </c>
      <c r="B3">
        <v>1</v>
      </c>
      <c r="C3">
        <v>10</v>
      </c>
      <c r="D3">
        <v>1</v>
      </c>
      <c r="E3" t="s">
        <v>60</v>
      </c>
      <c r="F3">
        <v>1</v>
      </c>
      <c r="G3" t="s">
        <v>58</v>
      </c>
      <c r="I3" s="29" t="s">
        <v>145</v>
      </c>
      <c r="J3" s="30"/>
      <c r="K3" s="31"/>
      <c r="M3" s="29" t="s">
        <v>146</v>
      </c>
      <c r="N3" s="30"/>
      <c r="O3" s="31"/>
      <c r="Q3" s="43" t="s">
        <v>147</v>
      </c>
      <c r="R3" s="39"/>
      <c r="S3" s="40"/>
      <c r="U3" s="29" t="s">
        <v>148</v>
      </c>
      <c r="V3" s="31"/>
      <c r="Y3" s="32" t="s">
        <v>149</v>
      </c>
      <c r="Z3" t="s">
        <v>66</v>
      </c>
      <c r="AA3" s="33" t="s">
        <v>58</v>
      </c>
      <c r="AC3" s="41">
        <v>1</v>
      </c>
      <c r="AD3" s="2" t="s">
        <v>150</v>
      </c>
      <c r="AE3" s="33">
        <v>300</v>
      </c>
    </row>
    <row r="4" spans="1:31">
      <c r="A4" s="5">
        <v>1</v>
      </c>
      <c r="B4">
        <v>2</v>
      </c>
      <c r="C4">
        <v>20</v>
      </c>
      <c r="D4">
        <v>1.1000000000000001</v>
      </c>
      <c r="E4" t="s">
        <v>59</v>
      </c>
      <c r="F4">
        <v>2</v>
      </c>
      <c r="I4" s="32">
        <v>1</v>
      </c>
      <c r="J4" t="s">
        <v>61</v>
      </c>
      <c r="K4" s="33">
        <v>2</v>
      </c>
      <c r="M4" s="32">
        <v>1</v>
      </c>
      <c r="N4" t="s">
        <v>70</v>
      </c>
      <c r="O4" s="33">
        <v>0</v>
      </c>
      <c r="Q4" s="41">
        <v>1</v>
      </c>
      <c r="R4" s="2" t="str">
        <f>"No Tide!"</f>
        <v>No Tide!</v>
      </c>
      <c r="S4" s="33">
        <v>0</v>
      </c>
      <c r="U4" s="32">
        <v>0</v>
      </c>
      <c r="V4" s="116"/>
      <c r="W4" s="56"/>
      <c r="Y4" s="32">
        <v>0.5</v>
      </c>
      <c r="Z4">
        <v>90</v>
      </c>
      <c r="AA4" s="33">
        <v>6</v>
      </c>
      <c r="AC4" s="41">
        <v>2</v>
      </c>
      <c r="AD4" s="2" t="s">
        <v>151</v>
      </c>
      <c r="AE4" s="33">
        <v>600</v>
      </c>
    </row>
    <row r="5" spans="1:31">
      <c r="A5" s="5">
        <v>1.5</v>
      </c>
      <c r="B5">
        <v>3</v>
      </c>
      <c r="C5">
        <v>30</v>
      </c>
      <c r="D5">
        <v>1.2</v>
      </c>
      <c r="F5">
        <v>3</v>
      </c>
      <c r="I5" s="34">
        <v>2</v>
      </c>
      <c r="J5" s="35" t="s">
        <v>63</v>
      </c>
      <c r="K5" s="36">
        <v>4</v>
      </c>
      <c r="M5" s="32">
        <v>2</v>
      </c>
      <c r="N5">
        <v>256</v>
      </c>
      <c r="O5" s="33">
        <v>256</v>
      </c>
      <c r="Q5" s="41">
        <v>2</v>
      </c>
      <c r="R5" s="2" t="s">
        <v>152</v>
      </c>
      <c r="S5" s="33">
        <v>10</v>
      </c>
      <c r="U5" s="32">
        <v>1</v>
      </c>
      <c r="V5" s="116"/>
      <c r="W5" s="56"/>
      <c r="Y5" s="32">
        <v>1</v>
      </c>
      <c r="Z5">
        <v>45</v>
      </c>
      <c r="AA5" s="33">
        <v>4.3</v>
      </c>
      <c r="AC5" s="41">
        <v>3</v>
      </c>
      <c r="AD5" s="2" t="s">
        <v>153</v>
      </c>
      <c r="AE5" s="33">
        <v>900</v>
      </c>
    </row>
    <row r="6" spans="1:31">
      <c r="A6" s="5">
        <v>2</v>
      </c>
      <c r="B6">
        <v>4</v>
      </c>
      <c r="C6">
        <v>40</v>
      </c>
      <c r="D6">
        <v>1.3</v>
      </c>
      <c r="F6">
        <v>5</v>
      </c>
      <c r="M6" s="32">
        <v>3</v>
      </c>
      <c r="N6">
        <v>512</v>
      </c>
      <c r="O6" s="33">
        <v>512</v>
      </c>
      <c r="Q6" s="41">
        <v>3</v>
      </c>
      <c r="R6" s="2" t="s">
        <v>64</v>
      </c>
      <c r="S6" s="33">
        <v>20</v>
      </c>
      <c r="U6" s="32">
        <v>2</v>
      </c>
      <c r="V6" s="33"/>
      <c r="Y6" s="32">
        <v>1.5</v>
      </c>
      <c r="Z6">
        <v>30</v>
      </c>
      <c r="AA6" s="33">
        <v>3.5</v>
      </c>
      <c r="AC6" s="41">
        <v>4</v>
      </c>
      <c r="AD6" s="2" t="s">
        <v>68</v>
      </c>
      <c r="AE6" s="33">
        <v>1200</v>
      </c>
    </row>
    <row r="7" spans="1:31">
      <c r="A7" s="5">
        <v>2.5</v>
      </c>
      <c r="B7">
        <v>5</v>
      </c>
      <c r="C7">
        <v>50</v>
      </c>
      <c r="D7">
        <v>1.4</v>
      </c>
      <c r="F7">
        <v>6</v>
      </c>
      <c r="M7" s="32">
        <v>4</v>
      </c>
      <c r="N7">
        <v>1024</v>
      </c>
      <c r="O7" s="33">
        <v>1024</v>
      </c>
      <c r="Q7" s="41">
        <v>4</v>
      </c>
      <c r="R7" s="2" t="s">
        <v>154</v>
      </c>
      <c r="S7" s="33">
        <v>30</v>
      </c>
      <c r="U7" s="32">
        <v>3</v>
      </c>
      <c r="V7" s="33"/>
      <c r="Y7" s="32">
        <v>2</v>
      </c>
      <c r="Z7">
        <v>22</v>
      </c>
      <c r="AA7" s="33">
        <v>3</v>
      </c>
      <c r="AC7" s="41">
        <v>5</v>
      </c>
      <c r="AD7" s="2" t="s">
        <v>62</v>
      </c>
      <c r="AE7" s="33">
        <v>1500</v>
      </c>
    </row>
    <row r="8" spans="1:31">
      <c r="A8" s="5">
        <v>3</v>
      </c>
      <c r="B8">
        <v>6</v>
      </c>
      <c r="C8">
        <v>60</v>
      </c>
      <c r="D8">
        <v>1.5</v>
      </c>
      <c r="F8">
        <v>10</v>
      </c>
      <c r="M8" s="34">
        <v>5</v>
      </c>
      <c r="N8" s="35">
        <v>2048</v>
      </c>
      <c r="O8" s="36">
        <v>2048</v>
      </c>
      <c r="Q8" s="41">
        <v>5</v>
      </c>
      <c r="R8" s="2" t="s">
        <v>69</v>
      </c>
      <c r="S8" s="33">
        <v>40</v>
      </c>
      <c r="U8" s="32">
        <v>4</v>
      </c>
      <c r="V8" s="116"/>
      <c r="W8" s="56"/>
      <c r="Y8" s="32">
        <v>2.5</v>
      </c>
      <c r="Z8">
        <v>18</v>
      </c>
      <c r="AA8" s="33">
        <v>2.7</v>
      </c>
      <c r="AC8" s="42">
        <v>6</v>
      </c>
      <c r="AD8" s="60" t="s">
        <v>155</v>
      </c>
      <c r="AE8" s="36">
        <v>1800</v>
      </c>
    </row>
    <row r="9" spans="1:31">
      <c r="A9" s="5">
        <v>3.5</v>
      </c>
      <c r="B9">
        <v>7</v>
      </c>
      <c r="C9">
        <v>70</v>
      </c>
      <c r="D9">
        <v>1.6</v>
      </c>
      <c r="F9">
        <v>15</v>
      </c>
      <c r="Q9" s="41">
        <v>6</v>
      </c>
      <c r="R9" s="2" t="s">
        <v>156</v>
      </c>
      <c r="S9" s="33">
        <v>50</v>
      </c>
      <c r="U9" s="32">
        <v>5</v>
      </c>
      <c r="V9" s="116"/>
      <c r="W9" s="56"/>
      <c r="Y9" s="32">
        <v>3</v>
      </c>
      <c r="Z9">
        <v>15</v>
      </c>
      <c r="AA9" s="33">
        <v>2.5</v>
      </c>
    </row>
    <row r="10" spans="1:31">
      <c r="A10" s="5">
        <v>4</v>
      </c>
      <c r="B10">
        <v>8</v>
      </c>
      <c r="C10">
        <v>80</v>
      </c>
      <c r="D10">
        <v>1.7</v>
      </c>
      <c r="F10">
        <v>20</v>
      </c>
      <c r="M10" s="38"/>
      <c r="N10" s="38"/>
      <c r="O10" s="38"/>
      <c r="Q10" s="41">
        <v>7</v>
      </c>
      <c r="R10" s="2" t="s">
        <v>157</v>
      </c>
      <c r="S10" s="33">
        <v>60</v>
      </c>
      <c r="U10" s="32">
        <v>6</v>
      </c>
      <c r="V10" s="116"/>
      <c r="W10" s="56"/>
      <c r="Y10" s="32">
        <v>3.5</v>
      </c>
      <c r="Z10">
        <v>13</v>
      </c>
      <c r="AA10" s="33">
        <v>2.2999999999999998</v>
      </c>
    </row>
    <row r="11" spans="1:31">
      <c r="A11" s="5">
        <v>4.5</v>
      </c>
      <c r="B11">
        <v>9</v>
      </c>
      <c r="C11">
        <v>90</v>
      </c>
      <c r="D11">
        <v>1.8</v>
      </c>
      <c r="F11">
        <v>30</v>
      </c>
      <c r="M11" s="38"/>
      <c r="N11" s="38"/>
      <c r="O11" s="38"/>
      <c r="Q11" s="41">
        <v>8</v>
      </c>
      <c r="R11" s="2" t="s">
        <v>158</v>
      </c>
      <c r="S11" s="33">
        <v>120</v>
      </c>
      <c r="U11" s="32">
        <v>7</v>
      </c>
      <c r="V11" s="116"/>
      <c r="W11" s="56"/>
      <c r="Y11" s="32">
        <v>4</v>
      </c>
      <c r="Z11">
        <v>12</v>
      </c>
      <c r="AA11" s="33">
        <v>2.2000000000000002</v>
      </c>
    </row>
    <row r="12" spans="1:31">
      <c r="A12" s="5">
        <v>5</v>
      </c>
      <c r="B12">
        <v>10</v>
      </c>
      <c r="C12">
        <v>100</v>
      </c>
      <c r="D12">
        <v>1.9</v>
      </c>
      <c r="F12">
        <v>60</v>
      </c>
      <c r="M12" s="38"/>
      <c r="N12" s="38"/>
      <c r="O12" s="38"/>
      <c r="Q12" s="41">
        <v>9</v>
      </c>
      <c r="R12" s="2" t="s">
        <v>159</v>
      </c>
      <c r="S12" s="33">
        <v>180</v>
      </c>
      <c r="U12" s="32">
        <v>8</v>
      </c>
      <c r="V12" s="33"/>
      <c r="Y12" s="32">
        <v>4.5</v>
      </c>
      <c r="Z12">
        <v>11</v>
      </c>
      <c r="AA12" s="33">
        <v>2</v>
      </c>
    </row>
    <row r="13" spans="1:31">
      <c r="B13">
        <v>12</v>
      </c>
      <c r="C13">
        <v>150</v>
      </c>
      <c r="D13">
        <v>2</v>
      </c>
      <c r="F13">
        <v>120</v>
      </c>
      <c r="M13" s="38"/>
      <c r="N13" s="38"/>
      <c r="O13" s="38"/>
      <c r="Q13" s="41">
        <v>10</v>
      </c>
      <c r="R13" s="2" t="s">
        <v>160</v>
      </c>
      <c r="S13" s="33">
        <v>240</v>
      </c>
      <c r="U13" s="32">
        <v>9</v>
      </c>
      <c r="V13" s="116"/>
      <c r="W13" s="56"/>
      <c r="Y13" s="34">
        <v>5</v>
      </c>
      <c r="Z13" s="35">
        <v>10</v>
      </c>
      <c r="AA13" s="36">
        <v>1.9</v>
      </c>
    </row>
    <row r="14" spans="1:31">
      <c r="B14">
        <v>15</v>
      </c>
      <c r="C14">
        <v>200</v>
      </c>
      <c r="D14">
        <v>2.1</v>
      </c>
      <c r="M14" s="38"/>
      <c r="N14" s="38"/>
      <c r="O14" s="38"/>
      <c r="Q14" s="41">
        <v>11</v>
      </c>
      <c r="R14" s="2" t="s">
        <v>150</v>
      </c>
      <c r="S14" s="33">
        <v>300</v>
      </c>
      <c r="U14" s="34">
        <v>10</v>
      </c>
      <c r="V14" s="117"/>
      <c r="W14" s="56"/>
    </row>
    <row r="15" spans="1:31">
      <c r="B15">
        <v>20</v>
      </c>
      <c r="C15">
        <v>250</v>
      </c>
      <c r="D15">
        <v>2.2000000000000002</v>
      </c>
      <c r="M15" s="38"/>
      <c r="N15" s="38"/>
      <c r="O15" s="38"/>
      <c r="Q15" s="41">
        <v>12</v>
      </c>
      <c r="R15" s="2" t="s">
        <v>161</v>
      </c>
      <c r="S15" s="33">
        <v>360</v>
      </c>
      <c r="V15" s="56"/>
      <c r="W15" s="56"/>
    </row>
    <row r="16" spans="1:31">
      <c r="B16">
        <v>25</v>
      </c>
      <c r="C16">
        <v>300</v>
      </c>
      <c r="D16">
        <v>2.2999999999999998</v>
      </c>
      <c r="Q16" s="41">
        <v>13</v>
      </c>
      <c r="R16" s="2" t="s">
        <v>162</v>
      </c>
      <c r="S16" s="33">
        <v>420</v>
      </c>
      <c r="V16" s="56"/>
      <c r="W16" s="56"/>
    </row>
    <row r="17" spans="2:29">
      <c r="B17">
        <v>30</v>
      </c>
      <c r="C17">
        <v>400</v>
      </c>
      <c r="D17">
        <v>2.4</v>
      </c>
      <c r="Q17" s="42">
        <v>14</v>
      </c>
      <c r="R17" s="60" t="s">
        <v>163</v>
      </c>
      <c r="S17" s="36">
        <v>480</v>
      </c>
    </row>
    <row r="18" spans="2:29">
      <c r="B18">
        <v>35</v>
      </c>
      <c r="C18">
        <v>500</v>
      </c>
      <c r="D18">
        <v>2.5</v>
      </c>
      <c r="AB18">
        <f>VLOOKUP('Power Calculator'!V13,Lists!$AD$3:$AE$8,2,FALSE)</f>
        <v>1500</v>
      </c>
    </row>
    <row r="19" spans="2:29">
      <c r="B19">
        <v>40</v>
      </c>
      <c r="C19">
        <v>600</v>
      </c>
      <c r="D19">
        <v>2.6</v>
      </c>
      <c r="V19" s="56"/>
      <c r="W19" s="56"/>
      <c r="AB19" t="str">
        <f>'Power Calculator'!V13</f>
        <v>25 min</v>
      </c>
    </row>
    <row r="20" spans="2:29">
      <c r="B20">
        <v>45</v>
      </c>
      <c r="C20">
        <v>800</v>
      </c>
      <c r="D20">
        <v>2.7</v>
      </c>
      <c r="V20" s="56"/>
      <c r="W20" s="56"/>
      <c r="AB20" t="str" cm="1">
        <f t="array" ref="AB20:AC25">Lists!$AD$3:$AE$8</f>
        <v>5 min</v>
      </c>
      <c r="AC20">
        <v>300</v>
      </c>
    </row>
    <row r="21" spans="2:29">
      <c r="B21">
        <v>50</v>
      </c>
      <c r="C21">
        <v>1200</v>
      </c>
      <c r="D21">
        <v>2.8</v>
      </c>
      <c r="V21" s="56"/>
      <c r="W21" s="56"/>
      <c r="AB21" t="str">
        <v>10 min</v>
      </c>
      <c r="AC21">
        <v>600</v>
      </c>
    </row>
    <row r="22" spans="2:29">
      <c r="B22">
        <v>55</v>
      </c>
      <c r="C22">
        <v>2400</v>
      </c>
      <c r="D22">
        <v>2.9</v>
      </c>
      <c r="H22" t="s">
        <v>164</v>
      </c>
      <c r="AB22" t="str">
        <v>15 min</v>
      </c>
      <c r="AC22">
        <v>900</v>
      </c>
    </row>
    <row r="23" spans="2:29">
      <c r="B23">
        <v>60</v>
      </c>
      <c r="C23">
        <v>3600</v>
      </c>
      <c r="D23">
        <v>3</v>
      </c>
      <c r="H23">
        <v>50</v>
      </c>
      <c r="U23" s="29" t="s">
        <v>12</v>
      </c>
      <c r="V23" s="31" t="s">
        <v>165</v>
      </c>
      <c r="AB23" t="str">
        <v>20 min</v>
      </c>
      <c r="AC23">
        <v>1200</v>
      </c>
    </row>
    <row r="24" spans="2:29">
      <c r="B24">
        <v>65</v>
      </c>
      <c r="D24">
        <v>3.5</v>
      </c>
      <c r="H24">
        <v>60</v>
      </c>
      <c r="U24" s="32" t="s">
        <v>166</v>
      </c>
      <c r="V24" s="33">
        <v>15</v>
      </c>
      <c r="AB24" t="str">
        <v>25 min</v>
      </c>
      <c r="AC24">
        <v>1500</v>
      </c>
    </row>
    <row r="25" spans="2:29">
      <c r="B25">
        <v>70</v>
      </c>
      <c r="D25">
        <v>4</v>
      </c>
      <c r="H25">
        <v>75</v>
      </c>
      <c r="U25" s="32" t="s">
        <v>71</v>
      </c>
      <c r="V25" s="33">
        <v>30</v>
      </c>
      <c r="AB25" t="str">
        <v>30 min</v>
      </c>
      <c r="AC25">
        <v>1800</v>
      </c>
    </row>
    <row r="26" spans="2:29">
      <c r="B26">
        <v>75</v>
      </c>
      <c r="D26">
        <v>4.5</v>
      </c>
      <c r="H26">
        <v>100</v>
      </c>
      <c r="U26" s="32" t="s">
        <v>65</v>
      </c>
      <c r="V26" s="33">
        <v>35</v>
      </c>
    </row>
    <row r="27" spans="2:29">
      <c r="D27">
        <v>5</v>
      </c>
      <c r="H27">
        <v>150</v>
      </c>
      <c r="U27" s="32" t="s">
        <v>67</v>
      </c>
      <c r="V27" s="33">
        <v>70</v>
      </c>
    </row>
    <row r="28" spans="2:29">
      <c r="D28">
        <v>5.5</v>
      </c>
      <c r="H28">
        <v>200</v>
      </c>
      <c r="U28" s="32" t="s">
        <v>167</v>
      </c>
      <c r="V28" s="33">
        <v>14</v>
      </c>
    </row>
    <row r="29" spans="2:29">
      <c r="D29">
        <v>6</v>
      </c>
      <c r="H29">
        <v>250</v>
      </c>
      <c r="U29" s="32" t="s">
        <v>168</v>
      </c>
      <c r="V29" s="33">
        <f>14*2</f>
        <v>28</v>
      </c>
    </row>
    <row r="30" spans="2:29">
      <c r="D30">
        <v>6.5</v>
      </c>
      <c r="H30">
        <v>300</v>
      </c>
      <c r="U30" s="34" t="s">
        <v>169</v>
      </c>
      <c r="V30" s="36">
        <f>14*3</f>
        <v>42</v>
      </c>
    </row>
    <row r="31" spans="2:29">
      <c r="D31">
        <v>7</v>
      </c>
      <c r="H31">
        <v>350</v>
      </c>
      <c r="U31" s="32"/>
    </row>
    <row r="32" spans="2:29">
      <c r="D32">
        <v>7.5</v>
      </c>
      <c r="H32">
        <v>400</v>
      </c>
    </row>
    <row r="33" spans="4:23">
      <c r="D33">
        <v>8</v>
      </c>
      <c r="H33">
        <v>450</v>
      </c>
    </row>
    <row r="34" spans="4:23">
      <c r="D34">
        <v>8.5</v>
      </c>
      <c r="H34">
        <v>500</v>
      </c>
    </row>
    <row r="35" spans="4:23">
      <c r="D35">
        <v>9</v>
      </c>
      <c r="H35">
        <v>550</v>
      </c>
    </row>
    <row r="36" spans="4:23">
      <c r="D36">
        <v>9.5</v>
      </c>
      <c r="H36">
        <v>600</v>
      </c>
    </row>
    <row r="37" spans="4:23">
      <c r="D37">
        <v>10</v>
      </c>
    </row>
    <row r="38" spans="4:23">
      <c r="D38">
        <v>11</v>
      </c>
    </row>
    <row r="39" spans="4:23">
      <c r="D39">
        <v>12</v>
      </c>
    </row>
    <row r="40" spans="4:23">
      <c r="D40">
        <v>13</v>
      </c>
    </row>
    <row r="41" spans="4:23">
      <c r="D41">
        <v>14</v>
      </c>
    </row>
    <row r="42" spans="4:23">
      <c r="D42">
        <v>15</v>
      </c>
    </row>
    <row r="43" spans="4:23">
      <c r="D43">
        <v>16</v>
      </c>
    </row>
    <row r="44" spans="4:23">
      <c r="D44">
        <v>17</v>
      </c>
    </row>
    <row r="45" spans="4:23">
      <c r="D45">
        <v>18</v>
      </c>
    </row>
    <row r="46" spans="4:23">
      <c r="D46">
        <v>19</v>
      </c>
    </row>
    <row r="47" spans="4:23">
      <c r="D47">
        <v>20</v>
      </c>
      <c r="V47" t="str">
        <f>IF('Power Calculator'!Z25="No Tide!",0,RIGHT('Power Calculator'!Z25,1))</f>
        <v/>
      </c>
      <c r="W47" t="str">
        <f>IF('Power Calculator'!Z25="No Tide!",0,LEFT('Power Calculator'!Z25,1))</f>
        <v/>
      </c>
    </row>
    <row r="48" spans="4:23">
      <c r="D48">
        <v>22</v>
      </c>
      <c r="V48" t="str">
        <f>IF('Power Calculator'!Z26="No Tide!",0,RIGHT('Power Calculator'!Z26,1))</f>
        <v/>
      </c>
      <c r="W48" t="str">
        <f>IF('Power Calculator'!Z26="No Tide!",0,LEFT('Power Calculator'!Z26,1))</f>
        <v/>
      </c>
    </row>
    <row r="49" spans="4:23">
      <c r="D49">
        <v>24</v>
      </c>
      <c r="V49" t="str">
        <f>IF('Power Calculator'!Z27="No Tide!",0,RIGHT('Power Calculator'!Z27,1))</f>
        <v/>
      </c>
      <c r="W49" t="str">
        <f>IF('Power Calculator'!Z27="No Tide!",0,LEFT('Power Calculator'!Z27,1))</f>
        <v/>
      </c>
    </row>
    <row r="50" spans="4:23">
      <c r="D50">
        <v>26</v>
      </c>
      <c r="V50" t="str">
        <f>IF('Power Calculator'!Z28="No Tide!",0,RIGHT('Power Calculator'!Z28,1))</f>
        <v/>
      </c>
      <c r="W50" t="str">
        <f>IF('Power Calculator'!Z28="No Tide!",0,LEFT('Power Calculator'!Z28,1))</f>
        <v/>
      </c>
    </row>
    <row r="51" spans="4:23">
      <c r="D51">
        <v>28</v>
      </c>
      <c r="V51" t="str">
        <f>IF('Power Calculator'!Z29="No Tide!",0,RIGHT('Power Calculator'!Z29,1))</f>
        <v/>
      </c>
      <c r="W51" t="str">
        <f>IF('Power Calculator'!Z29="No Tide!",0,LEFT('Power Calculator'!Z29,1))</f>
        <v/>
      </c>
    </row>
    <row r="52" spans="4:23">
      <c r="D52">
        <v>30</v>
      </c>
      <c r="V52" t="str">
        <f>IF('Power Calculator'!Z30="No Tide!",0,RIGHT('Power Calculator'!Z30,1))</f>
        <v/>
      </c>
      <c r="W52" t="str">
        <f>IF('Power Calculator'!Z30="No Tide!",0,LEFT('Power Calculator'!Z30,1))</f>
        <v/>
      </c>
    </row>
    <row r="53" spans="4:23">
      <c r="D53">
        <v>32</v>
      </c>
      <c r="V53" t="str">
        <f>IF('Power Calculator'!Z31="No Tide!",0,RIGHT('Power Calculator'!Z31,1))</f>
        <v/>
      </c>
      <c r="W53" t="str">
        <f>IF('Power Calculator'!Z31="No Tide!",0,LEFT('Power Calculator'!Z31,1))</f>
        <v/>
      </c>
    </row>
    <row r="54" spans="4:23">
      <c r="D54">
        <v>34</v>
      </c>
      <c r="V54" t="str">
        <f>IF('Power Calculator'!Z32="No Tide!",0,RIGHT('Power Calculator'!Z32,1))</f>
        <v/>
      </c>
      <c r="W54" t="str">
        <f>IF('Power Calculator'!Z32="No Tide!",0,LEFT('Power Calculator'!Z32,1))</f>
        <v/>
      </c>
    </row>
    <row r="55" spans="4:23">
      <c r="D55">
        <v>36</v>
      </c>
      <c r="V55" t="str">
        <f>IF('Power Calculator'!Z33="No Tide!",0,RIGHT('Power Calculator'!Z33,1))</f>
        <v/>
      </c>
      <c r="W55" t="str">
        <f>IF('Power Calculator'!Z33="No Tide!",0,LEFT('Power Calculator'!Z33,1))</f>
        <v/>
      </c>
    </row>
    <row r="56" spans="4:23">
      <c r="D56">
        <v>38</v>
      </c>
      <c r="V56" t="str">
        <f>IF('Power Calculator'!Z34="No Tide!",0,RIGHT('Power Calculator'!Z34,1))</f>
        <v/>
      </c>
      <c r="W56" t="str">
        <f>IF('Power Calculator'!Z34="No Tide!",0,LEFT('Power Calculator'!Z34,1))</f>
        <v/>
      </c>
    </row>
    <row r="57" spans="4:23">
      <c r="D57">
        <v>40</v>
      </c>
      <c r="V57" t="str">
        <f>IF('Power Calculator'!Z35="No Tide!",0,RIGHT('Power Calculator'!Z35,1))</f>
        <v/>
      </c>
      <c r="W57" t="str">
        <f>IF('Power Calculator'!Z35="No Tide!",0,LEFT('Power Calculator'!Z35,1))</f>
        <v/>
      </c>
    </row>
    <row r="58" spans="4:23">
      <c r="D58">
        <v>42</v>
      </c>
      <c r="V58" t="str">
        <f>IF('Power Calculator'!Z36="No Tide!",0,RIGHT('Power Calculator'!Z36,1))</f>
        <v/>
      </c>
      <c r="W58" t="str">
        <f>IF('Power Calculator'!Z36="No Tide!",0,LEFT('Power Calculator'!Z36,1))</f>
        <v/>
      </c>
    </row>
    <row r="59" spans="4:23">
      <c r="D59">
        <v>44</v>
      </c>
      <c r="V59" t="str">
        <f>IF('Power Calculator'!Z37="No Tide!",0,RIGHT('Power Calculator'!Z37,1))</f>
        <v/>
      </c>
      <c r="W59" t="str">
        <f>IF('Power Calculator'!Z37="No Tide!",0,LEFT('Power Calculator'!Z37,1))</f>
        <v/>
      </c>
    </row>
    <row r="60" spans="4:23">
      <c r="D60">
        <v>46</v>
      </c>
      <c r="V60" t="str">
        <f>IF('Power Calculator'!Z38="No Tide!",0,RIGHT('Power Calculator'!Z38,1))</f>
        <v/>
      </c>
      <c r="W60" t="str">
        <f>IF('Power Calculator'!Z38="No Tide!",0,LEFT('Power Calculator'!Z38,1))</f>
        <v/>
      </c>
    </row>
    <row r="61" spans="4:23">
      <c r="D61">
        <v>48</v>
      </c>
      <c r="V61" t="str">
        <f>IF('Power Calculator'!Z39="No Tide!",0,RIGHT('Power Calculator'!Z39,1))</f>
        <v/>
      </c>
      <c r="W61" t="str">
        <f>IF('Power Calculator'!Z39="No Tide!",0,LEFT('Power Calculator'!Z39,1))</f>
        <v/>
      </c>
    </row>
    <row r="62" spans="4:23">
      <c r="D62">
        <v>50</v>
      </c>
      <c r="V62" t="str">
        <f>IF('Power Calculator'!Z40="No Tide!",0,RIGHT('Power Calculator'!Z40,1))</f>
        <v/>
      </c>
      <c r="W62" t="str">
        <f>IF('Power Calculator'!Z40="No Tide!",0,LEFT('Power Calculator'!Z40,1))</f>
        <v/>
      </c>
    </row>
    <row r="63" spans="4:23">
      <c r="D63">
        <v>55</v>
      </c>
      <c r="V63" t="str">
        <f>IF('Power Calculator'!Z41="No Tide!",0,RIGHT('Power Calculator'!Z41,1))</f>
        <v/>
      </c>
      <c r="W63" t="str">
        <f>IF('Power Calculator'!Z41="No Tide!",0,LEFT('Power Calculator'!Z41,1))</f>
        <v/>
      </c>
    </row>
    <row r="64" spans="4:23">
      <c r="D64">
        <v>60</v>
      </c>
      <c r="V64" t="str">
        <f>IF('Power Calculator'!Z42="No Tide!",0,RIGHT('Power Calculator'!Z42,1))</f>
        <v/>
      </c>
      <c r="W64" t="str">
        <f>IF('Power Calculator'!Z42="No Tide!",0,LEFT('Power Calculator'!Z42,1))</f>
        <v/>
      </c>
    </row>
    <row r="65" spans="4:23">
      <c r="D65">
        <v>65</v>
      </c>
      <c r="V65" t="str">
        <f>IF('Power Calculator'!Z43="No Tide!",0,RIGHT('Power Calculator'!Z43,1))</f>
        <v/>
      </c>
      <c r="W65" t="str">
        <f>IF('Power Calculator'!Z43="No Tide!",0,LEFT('Power Calculator'!Z43,1))</f>
        <v/>
      </c>
    </row>
    <row r="66" spans="4:23">
      <c r="D66">
        <v>70</v>
      </c>
      <c r="V66" t="str">
        <f>IF('Power Calculator'!Z44="No Tide!",0,RIGHT('Power Calculator'!Z44,1))</f>
        <v/>
      </c>
      <c r="W66" t="str">
        <f>IF('Power Calculator'!Z44="No Tide!",0,LEFT('Power Calculator'!Z44,1))</f>
        <v/>
      </c>
    </row>
    <row r="67" spans="4:23">
      <c r="V67" t="str">
        <f>IF('Power Calculator'!Z45="No Tide!",0,RIGHT('Power Calculator'!Z45,1))</f>
        <v/>
      </c>
      <c r="W67" t="str">
        <f>IF('Power Calculator'!Z45="No Tide!",0,LEFT('Power Calculator'!Z45,1))</f>
        <v/>
      </c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164C1-2D48-4081-8093-03AD70988419}">
  <sheetPr codeName="Sheet5"/>
  <dimension ref="A1:AK35"/>
  <sheetViews>
    <sheetView topLeftCell="A11" zoomScale="90" zoomScaleNormal="90" workbookViewId="0">
      <selection activeCell="V11" sqref="V11"/>
    </sheetView>
  </sheetViews>
  <sheetFormatPr defaultColWidth="8.85546875" defaultRowHeight="15"/>
  <cols>
    <col min="3" max="3" width="11.7109375" customWidth="1"/>
    <col min="7" max="11" width="9.42578125" bestFit="1" customWidth="1"/>
    <col min="17" max="17" width="9.42578125" bestFit="1" customWidth="1"/>
    <col min="22" max="22" width="13.7109375" customWidth="1"/>
    <col min="23" max="23" width="18.140625" customWidth="1"/>
    <col min="26" max="26" width="21.28515625" customWidth="1"/>
    <col min="27" max="27" width="18.85546875" customWidth="1"/>
    <col min="30" max="30" width="13.42578125" customWidth="1"/>
    <col min="31" max="31" width="11.85546875" customWidth="1"/>
  </cols>
  <sheetData>
    <row r="1" spans="1:37" ht="15.75" thickBot="1"/>
    <row r="2" spans="1:37" ht="24" thickBot="1">
      <c r="A2" s="135" t="s">
        <v>170</v>
      </c>
      <c r="G2" s="145" t="s">
        <v>171</v>
      </c>
      <c r="H2" s="146"/>
      <c r="I2" s="146"/>
      <c r="J2" s="146"/>
      <c r="K2" s="142"/>
      <c r="V2" s="179" t="s">
        <v>172</v>
      </c>
      <c r="W2" s="180"/>
      <c r="X2" s="180"/>
      <c r="Y2" s="180"/>
      <c r="Z2" s="180"/>
      <c r="AA2" s="181"/>
    </row>
    <row r="3" spans="1:37">
      <c r="G3" s="144" t="s">
        <v>23</v>
      </c>
      <c r="H3" s="141" t="s">
        <v>24</v>
      </c>
      <c r="I3" s="141" t="s">
        <v>25</v>
      </c>
      <c r="J3" s="147" t="s">
        <v>26</v>
      </c>
      <c r="K3" s="141" t="s">
        <v>27</v>
      </c>
      <c r="V3" s="173" t="s">
        <v>173</v>
      </c>
      <c r="W3" s="55" t="s">
        <v>174</v>
      </c>
      <c r="X3" t="s">
        <v>175</v>
      </c>
      <c r="Y3" s="55" t="s">
        <v>176</v>
      </c>
      <c r="Z3" s="182" t="s">
        <v>177</v>
      </c>
      <c r="AA3" s="174" t="s">
        <v>178</v>
      </c>
    </row>
    <row r="4" spans="1:37">
      <c r="F4" s="143" t="s">
        <v>179</v>
      </c>
      <c r="G4" s="150">
        <f>IF(ISNA(A12),0,0.25+14/(A12*60))</f>
        <v>0.48333333333333334</v>
      </c>
      <c r="H4" s="151">
        <f>IF(ISNA(A12),0,(0.25+14/(A12*60)))</f>
        <v>0.48333333333333334</v>
      </c>
      <c r="I4" s="151">
        <f>IF(ISNA(A12),0,(0.16+48/(A12*60)))</f>
        <v>0.96000000000000008</v>
      </c>
      <c r="J4" s="152">
        <f>IF(ISNA(A12),0,(0.16+48/(A12*60)))</f>
        <v>0.96000000000000008</v>
      </c>
      <c r="K4" s="148">
        <f>IF(ISNA(A12),0,(0.22+40/(A12*60)))</f>
        <v>0.8866666666666666</v>
      </c>
      <c r="V4" s="173">
        <f>A12*60</f>
        <v>60</v>
      </c>
      <c r="W4" s="55">
        <f>'Power Calculator'!AH13</f>
        <v>150</v>
      </c>
      <c r="X4" s="55">
        <f>W4/V4</f>
        <v>2.5</v>
      </c>
      <c r="Y4" s="55">
        <v>0.2</v>
      </c>
      <c r="Z4" s="182">
        <v>12.54</v>
      </c>
      <c r="AA4" s="184">
        <f>Y4+Z4*X4</f>
        <v>31.549999999999997</v>
      </c>
      <c r="AD4" s="29"/>
      <c r="AE4" s="30"/>
      <c r="AF4" s="30"/>
      <c r="AG4" s="30"/>
      <c r="AH4" s="30"/>
      <c r="AI4" s="30"/>
      <c r="AJ4" s="30">
        <v>0.6</v>
      </c>
      <c r="AK4" s="31"/>
    </row>
    <row r="5" spans="1:37">
      <c r="F5" s="143" t="s">
        <v>180</v>
      </c>
      <c r="G5" s="150">
        <f t="shared" ref="G5:G8" si="0">IF(ISNA(A13),0,0.25+14/(A13*60))</f>
        <v>0.25388888888888889</v>
      </c>
      <c r="H5" s="151">
        <f t="shared" ref="H5:H8" si="1">IF(ISNA(A13),0,(0.25+14/(A13*60)))</f>
        <v>0.25388888888888889</v>
      </c>
      <c r="I5" s="151">
        <f t="shared" ref="I5:I8" si="2">IF(ISNA(A13),0,(0.16+48/(A13*60)))</f>
        <v>0.17333333333333334</v>
      </c>
      <c r="J5" s="152">
        <f t="shared" ref="J5:J8" si="3">IF(ISNA(A13),0,(0.16+48/(A13*60)))</f>
        <v>0.17333333333333334</v>
      </c>
      <c r="K5" s="148">
        <f t="shared" ref="K5:K8" si="4">IF(ISNA(A13),0,(0.22+40/(A13*60)))</f>
        <v>0.2311111111111111</v>
      </c>
      <c r="V5" s="173">
        <f t="shared" ref="V5:V8" si="5">A13*60</f>
        <v>3600</v>
      </c>
      <c r="W5" s="55">
        <f>'Power Calculator'!AH14</f>
        <v>150</v>
      </c>
      <c r="X5" s="55">
        <f t="shared" ref="X5:X8" si="6">W5/V5</f>
        <v>4.1666666666666664E-2</v>
      </c>
      <c r="Y5" s="55">
        <v>0.2</v>
      </c>
      <c r="Z5" s="182">
        <v>12.54</v>
      </c>
      <c r="AA5" s="184">
        <f t="shared" ref="AA5:AA8" si="7">Y5+Z5*X5</f>
        <v>0.72249999999999992</v>
      </c>
      <c r="AD5" s="32"/>
      <c r="AJ5">
        <f>(AH12-AH7)/(AG12-AG7)+1</f>
        <v>12.540013898540654</v>
      </c>
      <c r="AK5" s="33" t="s">
        <v>181</v>
      </c>
    </row>
    <row r="6" spans="1:37">
      <c r="F6" s="143" t="s">
        <v>182</v>
      </c>
      <c r="G6" s="150">
        <f t="shared" si="0"/>
        <v>0.25388888888888889</v>
      </c>
      <c r="H6" s="151">
        <f t="shared" si="1"/>
        <v>0.25388888888888889</v>
      </c>
      <c r="I6" s="151">
        <f t="shared" si="2"/>
        <v>0.17333333333333334</v>
      </c>
      <c r="J6" s="152">
        <f t="shared" si="3"/>
        <v>0.17333333333333334</v>
      </c>
      <c r="K6" s="148">
        <f t="shared" si="4"/>
        <v>0.2311111111111111</v>
      </c>
      <c r="V6" s="173">
        <f t="shared" si="5"/>
        <v>3600</v>
      </c>
      <c r="W6" s="55">
        <f>'Power Calculator'!AH15</f>
        <v>150</v>
      </c>
      <c r="X6" s="55">
        <f t="shared" si="6"/>
        <v>4.1666666666666664E-2</v>
      </c>
      <c r="Y6" s="55">
        <v>0.2</v>
      </c>
      <c r="Z6" s="182">
        <v>12.54</v>
      </c>
      <c r="AA6" s="184">
        <f t="shared" si="7"/>
        <v>0.72249999999999992</v>
      </c>
      <c r="AD6" s="32" t="s">
        <v>183</v>
      </c>
      <c r="AE6" t="s">
        <v>173</v>
      </c>
      <c r="AF6" t="s">
        <v>184</v>
      </c>
      <c r="AG6" t="s">
        <v>175</v>
      </c>
      <c r="AH6" t="s">
        <v>93</v>
      </c>
      <c r="AK6" s="33"/>
    </row>
    <row r="7" spans="1:37">
      <c r="F7" s="143" t="s">
        <v>185</v>
      </c>
      <c r="G7" s="150">
        <f t="shared" si="0"/>
        <v>0.25777777777777777</v>
      </c>
      <c r="H7" s="151">
        <f t="shared" si="1"/>
        <v>0.25777777777777777</v>
      </c>
      <c r="I7" s="151">
        <f t="shared" si="2"/>
        <v>0.18666666666666668</v>
      </c>
      <c r="J7" s="152">
        <f t="shared" si="3"/>
        <v>0.18666666666666668</v>
      </c>
      <c r="K7" s="148">
        <f t="shared" si="4"/>
        <v>0.24222222222222223</v>
      </c>
      <c r="V7" s="173">
        <f t="shared" si="5"/>
        <v>1800</v>
      </c>
      <c r="W7" s="55">
        <f>'Power Calculator'!AH16</f>
        <v>150</v>
      </c>
      <c r="X7" s="55">
        <f t="shared" si="6"/>
        <v>8.3333333333333329E-2</v>
      </c>
      <c r="Y7" s="55">
        <v>0.2</v>
      </c>
      <c r="Z7" s="182">
        <v>12.54</v>
      </c>
      <c r="AA7" s="184">
        <f t="shared" si="7"/>
        <v>1.2449999999999999</v>
      </c>
      <c r="AD7" s="32">
        <v>120</v>
      </c>
      <c r="AE7">
        <f t="shared" ref="AE7:AE12" si="8">AD7*60</f>
        <v>7200</v>
      </c>
      <c r="AF7">
        <v>50</v>
      </c>
      <c r="AG7">
        <f t="shared" ref="AG7:AG12" si="9">AF7/AE7</f>
        <v>6.9444444444444441E-3</v>
      </c>
      <c r="AH7">
        <v>0.68</v>
      </c>
      <c r="AJ7">
        <f>$AJ$4+AG7*$AJ$5</f>
        <v>0.6870834298509767</v>
      </c>
      <c r="AK7" s="177">
        <f>(AJ7-AH7)/AH7</f>
        <v>1.041680860437743E-2</v>
      </c>
    </row>
    <row r="8" spans="1:37" ht="15.75" thickBot="1">
      <c r="F8" s="143" t="s">
        <v>186</v>
      </c>
      <c r="G8" s="150">
        <f t="shared" si="0"/>
        <v>0.25000002333333332</v>
      </c>
      <c r="H8" s="151">
        <f t="shared" si="1"/>
        <v>0.25000002333333332</v>
      </c>
      <c r="I8" s="151">
        <f t="shared" si="2"/>
        <v>0.16000008000000002</v>
      </c>
      <c r="J8" s="152">
        <f t="shared" si="3"/>
        <v>0.16000008000000002</v>
      </c>
      <c r="K8" s="148">
        <f t="shared" si="4"/>
        <v>0.22000006666666666</v>
      </c>
      <c r="V8" s="173">
        <f t="shared" si="5"/>
        <v>600000000</v>
      </c>
      <c r="W8" s="176">
        <f>'Power Calculator'!AH17</f>
        <v>150</v>
      </c>
      <c r="X8" s="176">
        <f t="shared" si="6"/>
        <v>2.4999999999999999E-7</v>
      </c>
      <c r="Y8" s="176">
        <v>0.2</v>
      </c>
      <c r="Z8" s="183">
        <v>12.54</v>
      </c>
      <c r="AA8" s="185">
        <f t="shared" si="7"/>
        <v>0.200003135</v>
      </c>
      <c r="AD8" s="32">
        <v>120</v>
      </c>
      <c r="AE8">
        <f t="shared" si="8"/>
        <v>7200</v>
      </c>
      <c r="AF8">
        <v>600</v>
      </c>
      <c r="AG8">
        <f t="shared" si="9"/>
        <v>8.3333333333333329E-2</v>
      </c>
      <c r="AH8">
        <v>1.7</v>
      </c>
      <c r="AJ8">
        <f t="shared" ref="AJ8:AJ12" si="10">$AJ$4+AG8*$AJ$5</f>
        <v>1.6450011582117212</v>
      </c>
      <c r="AK8" s="177">
        <f t="shared" ref="AK8:AK11" si="11">(AJ8-AH8)/AH8</f>
        <v>-3.2352259875458082E-2</v>
      </c>
    </row>
    <row r="9" spans="1:37" ht="15.75" thickBot="1">
      <c r="AD9" s="32">
        <v>30</v>
      </c>
      <c r="AE9">
        <f t="shared" si="8"/>
        <v>1800</v>
      </c>
      <c r="AF9">
        <v>600</v>
      </c>
      <c r="AG9">
        <f t="shared" si="9"/>
        <v>0.33333333333333331</v>
      </c>
      <c r="AH9">
        <v>5</v>
      </c>
      <c r="AJ9">
        <f t="shared" si="10"/>
        <v>4.7800046328468841</v>
      </c>
      <c r="AK9" s="177">
        <f t="shared" si="11"/>
        <v>-4.3999073430623169E-2</v>
      </c>
    </row>
    <row r="10" spans="1:37" ht="15.75" thickBot="1">
      <c r="A10">
        <f>30*60</f>
        <v>1800</v>
      </c>
      <c r="H10" s="237" t="s">
        <v>187</v>
      </c>
      <c r="I10" s="238"/>
      <c r="J10" s="239"/>
      <c r="K10" s="237" t="s">
        <v>188</v>
      </c>
      <c r="L10" s="238"/>
      <c r="M10" s="239"/>
      <c r="N10" s="237" t="s">
        <v>189</v>
      </c>
      <c r="O10" s="238"/>
      <c r="P10" s="240"/>
      <c r="Q10" s="136" t="s">
        <v>190</v>
      </c>
      <c r="AD10" s="32">
        <v>10</v>
      </c>
      <c r="AE10">
        <f t="shared" si="8"/>
        <v>600</v>
      </c>
      <c r="AF10">
        <v>600</v>
      </c>
      <c r="AG10">
        <f t="shared" si="9"/>
        <v>1</v>
      </c>
      <c r="AH10">
        <v>13.9</v>
      </c>
      <c r="AJ10">
        <f t="shared" si="10"/>
        <v>13.140013898540653</v>
      </c>
      <c r="AK10" s="177">
        <f t="shared" si="11"/>
        <v>-5.4675259097794762E-2</v>
      </c>
    </row>
    <row r="11" spans="1:37" ht="45.75" thickBot="1">
      <c r="A11" s="124" t="s">
        <v>143</v>
      </c>
      <c r="C11" s="48" t="s">
        <v>49</v>
      </c>
      <c r="D11" s="49" t="s">
        <v>191</v>
      </c>
      <c r="E11" s="49" t="s">
        <v>50</v>
      </c>
      <c r="F11" s="49" t="s">
        <v>192</v>
      </c>
      <c r="G11" s="49" t="s">
        <v>193</v>
      </c>
      <c r="H11" s="49" t="s">
        <v>194</v>
      </c>
      <c r="I11" s="49" t="s">
        <v>195</v>
      </c>
      <c r="J11" s="49" t="s">
        <v>196</v>
      </c>
      <c r="K11" s="49" t="s">
        <v>194</v>
      </c>
      <c r="L11" s="49" t="s">
        <v>195</v>
      </c>
      <c r="M11" s="49" t="s">
        <v>196</v>
      </c>
      <c r="N11" s="49" t="s">
        <v>194</v>
      </c>
      <c r="O11" s="49" t="s">
        <v>195</v>
      </c>
      <c r="P11" s="57" t="s">
        <v>196</v>
      </c>
      <c r="Q11" s="59" t="s">
        <v>194</v>
      </c>
      <c r="R11" s="61"/>
      <c r="S11" s="61"/>
      <c r="AD11" s="32">
        <v>5</v>
      </c>
      <c r="AE11">
        <f t="shared" si="8"/>
        <v>300</v>
      </c>
      <c r="AF11">
        <v>600</v>
      </c>
      <c r="AG11">
        <f t="shared" si="9"/>
        <v>2</v>
      </c>
      <c r="AH11">
        <v>24</v>
      </c>
      <c r="AJ11">
        <f t="shared" si="10"/>
        <v>25.680027797081308</v>
      </c>
      <c r="AK11" s="177">
        <f t="shared" si="11"/>
        <v>7.000115821172119E-2</v>
      </c>
    </row>
    <row r="12" spans="1:37" ht="15.75" thickBot="1">
      <c r="A12" s="125">
        <f>IF(ISNUMBER('Power Calculator'!W13),'Power Calculator'!W13,10000000)</f>
        <v>1</v>
      </c>
      <c r="B12" s="121" t="s">
        <v>179</v>
      </c>
      <c r="C12" s="50">
        <f>VLOOKUP('Power Calculator'!AD13,Lists!J4:K5,2)</f>
        <v>4</v>
      </c>
      <c r="D12" s="51">
        <f>VLOOKUP('Power Calculator'!AF13,Lists!N4:O8,2)</f>
        <v>2048</v>
      </c>
      <c r="E12" s="61">
        <f>IF(R12=0,0,IF(R12="s",S12*1,S12*60))</f>
        <v>2</v>
      </c>
      <c r="F12" s="52">
        <f>IF((A12=0),"",(D12/(C12*A12*60)))</f>
        <v>8.5333333333333332</v>
      </c>
      <c r="G12" s="54">
        <f>IF(A12=0,"",E12/(A12*60))</f>
        <v>3.3333333333333333E-2</v>
      </c>
      <c r="H12" s="52">
        <f>IF(ISBLANK(A12),"",(IF(F12&lt;=1,0.4+(2.2/(A12*60))*Sensors!D12,IF(AND(Sensors!F12&gt;1,Sensors!C12=2),4.64+6.5/(A12*60),IF(AND(Sensors!F12&gt;1,Sensors!C12=4),9.2+5/(A12*60))))))</f>
        <v>9.2833333333333332</v>
      </c>
      <c r="I12" s="52">
        <f>IF(F12&lt;=1,0.4+(2.5/A12)*D12,IF(AND(F12&gt;1,C12=2),5.5+28/A12,IF(AND(F12&gt;1,C12=4),10+28/A12)))</f>
        <v>38</v>
      </c>
      <c r="J12" s="52">
        <f>IF(F12&lt;=1,1.1+(2.4/A12)*D12,IF(AND(F12&gt;1,C12=2),5.5+28/A12,IF(AND(F12&gt;1,C12=4),10+28/A12)))</f>
        <v>38</v>
      </c>
      <c r="K12" s="52">
        <f>IF(ISBLANK(A12),"",(IF(G12&lt;=1,0.4+(2.2*C12*G12),IF(AND(G12&gt;1,C12=2),4.65+1.5/(A12*60),IF(AND(Sensors!G12&gt;1,Sensors!C12=4),9.2+1.5/(A12*60))))))</f>
        <v>0.69333333333333336</v>
      </c>
      <c r="L12" s="52">
        <f>IF(G12&lt;=1,0.4+2.5*C12*G12,IF(AND(G12&gt;1,C12=2),5.5+13/A12,IF(AND(Sensors!G12&gt;1,Sensors!C12=4),10+13/A12)))</f>
        <v>0.73333333333333339</v>
      </c>
      <c r="M12" s="52">
        <f>IF(G12&lt;=1,1.1+2.4*C12*G12,IF(AND(G12&gt;1,C12=2),5.5+13/A12,IF(AND(Sensors!G12&gt;1,Sensors!C12=4),10+13/A12)))</f>
        <v>1.4200000000000002</v>
      </c>
      <c r="N12" s="52">
        <f>IF(ISBLANK(A12),"",(0.4+5.4/(A12*60)))</f>
        <v>0.49000000000000005</v>
      </c>
      <c r="O12" s="52">
        <f>0.4+24/A12</f>
        <v>24.4</v>
      </c>
      <c r="P12" s="58">
        <f>1.1+22/A12</f>
        <v>23.1</v>
      </c>
      <c r="Q12" s="149">
        <f>IF(ISNA(A12),0,IF(AND(D12=0,E12=0),N12,IF(OR(K12&gt;H12,D12=0),K12,H12)))</f>
        <v>9.2833333333333332</v>
      </c>
      <c r="R12" s="61" t="str">
        <f>IF('Power Calculator'!AE13="No Tide!",0,RIGHT('Power Calculator'!AE13,1))</f>
        <v>s</v>
      </c>
      <c r="S12" s="61" t="str">
        <f>IF('Power Calculator'!AE13="No Tide!",0,LEFT('Power Calculator'!AE13,1))</f>
        <v>2</v>
      </c>
      <c r="AD12" s="34">
        <v>1</v>
      </c>
      <c r="AE12" s="35">
        <f t="shared" si="8"/>
        <v>60</v>
      </c>
      <c r="AF12" s="35">
        <v>600</v>
      </c>
      <c r="AG12" s="35">
        <f t="shared" si="9"/>
        <v>10</v>
      </c>
      <c r="AH12" s="35">
        <v>116</v>
      </c>
      <c r="AI12" s="35"/>
      <c r="AJ12" s="35">
        <f t="shared" si="10"/>
        <v>126.00013898540652</v>
      </c>
      <c r="AK12" s="178">
        <f t="shared" ref="AK12" si="12">(AJ12-AH12)/AH12</f>
        <v>8.6208094701780369E-2</v>
      </c>
    </row>
    <row r="13" spans="1:37" ht="15.75" thickBot="1">
      <c r="A13" s="125">
        <f>IF(ISNUMBER('Power Calculator'!W14),'Power Calculator'!W14,10000000)</f>
        <v>60</v>
      </c>
      <c r="B13" s="122" t="s">
        <v>180</v>
      </c>
      <c r="C13" s="46">
        <f>VLOOKUP('Power Calculator'!AD14,Lists!J4:K5,2)</f>
        <v>4</v>
      </c>
      <c r="D13" s="44">
        <f>VLOOKUP('Power Calculator'!AF14,Lists!N4:O8,2)</f>
        <v>2048</v>
      </c>
      <c r="E13" s="61">
        <f>IF(R13=0,0,IF(R13="s",S13*1,S13*60))</f>
        <v>2</v>
      </c>
      <c r="F13" s="52">
        <f t="shared" ref="F13:F16" si="13">IF((A13=0),"",(D13/(C13*A13*60)))</f>
        <v>0.14222222222222222</v>
      </c>
      <c r="G13" s="54">
        <f t="shared" ref="G13:G16" si="14">IF(A13=0,"",E13/(A13*60))</f>
        <v>5.5555555555555556E-4</v>
      </c>
      <c r="H13" s="52">
        <f>IF(ISBLANK(A13),"",(IF(F13&lt;=1,0.4+(2.2/(A13*60))*Sensors!D13,IF(AND(Sensors!F13&gt;1,Sensors!C13=2),4.64+6.5/(A13*60),IF(AND(Sensors!F13&gt;1,Sensors!C13=4),9.2+5/(A13*60))))))</f>
        <v>1.6515555555555559</v>
      </c>
      <c r="I13" s="52">
        <f>IF(F13&lt;=1,0.4+(2.5/A13)*D13,IF(AND(F13&gt;1,C13=2),5.5+28/A13,IF(AND(F13&gt;1,C13=4),10+28/A13)))</f>
        <v>85.733333333333334</v>
      </c>
      <c r="J13" s="52">
        <f>IF(F13&lt;=1,1.1+(2.4/A13)*D13,IF(AND(F13&gt;1,C13=2),5.5+28/A13,IF(AND(F13&gt;1,C13=4),10+28/A13)))</f>
        <v>83.02</v>
      </c>
      <c r="K13" s="52">
        <f>IF(ISBLANK(A13),"",(IF(G13&lt;=1,0.4+(2.2*C13*G13),IF(AND(G13&gt;1,C13=2),4.65+1.5/(A13*60),IF(AND(Sensors!G13&gt;1,Sensors!C13=4),9.2+1.5/(A13*60))))))</f>
        <v>0.40488888888888891</v>
      </c>
      <c r="L13" s="52">
        <f>IF(G13&lt;=1,0.4+2.5*C13*G13,IF(AND(G13&gt;1,C13=2),5.5+13/A13,IF(AND(Sensors!G13&gt;1,Sensors!C13=4),10+13/A13)))</f>
        <v>0.40555555555555556</v>
      </c>
      <c r="M13" s="52">
        <f>IF(G13&lt;=1,1.1+2.4*C13*G13,IF(AND(G13&gt;1,C13=2),5.5+13/A13,IF(AND(Sensors!G13&gt;1,Sensors!C13=4),10+13/A13)))</f>
        <v>1.1053333333333335</v>
      </c>
      <c r="N13" s="52">
        <f>IF(ISBLANK(A13),"",(0.4+5.4/(A13*60)))</f>
        <v>0.40150000000000002</v>
      </c>
      <c r="O13" s="52">
        <f>0.4+24/A13</f>
        <v>0.8</v>
      </c>
      <c r="P13" s="58">
        <f>1.1+22/A13</f>
        <v>1.4666666666666668</v>
      </c>
      <c r="Q13" s="149">
        <f t="shared" ref="Q13:Q16" si="15">IF(ISNA(A13),0,IF(AND(D13=0,E13=0),N13,IF(OR(K13&gt;H13,D13=0),K13,H13)))</f>
        <v>1.6515555555555559</v>
      </c>
      <c r="R13" s="61" t="str">
        <f>IF('Power Calculator'!AE14="No Tide!",0,RIGHT('Power Calculator'!AE14,1))</f>
        <v>s</v>
      </c>
      <c r="S13" s="61" t="str">
        <f>IF('Power Calculator'!AE14="No Tide!",0,LEFT('Power Calculator'!AE14,1))</f>
        <v>2</v>
      </c>
    </row>
    <row r="14" spans="1:37" ht="15.75" thickBot="1">
      <c r="A14" s="125">
        <f>IF(ISNUMBER('Power Calculator'!W15),'Power Calculator'!W15,10000000)</f>
        <v>60</v>
      </c>
      <c r="B14" s="122" t="s">
        <v>182</v>
      </c>
      <c r="C14" s="46">
        <f>VLOOKUP('Power Calculator'!AD15,Lists!J4:K5,2)</f>
        <v>4</v>
      </c>
      <c r="D14" s="44">
        <f>VLOOKUP('Power Calculator'!AF15,Lists!N4:O8,2)</f>
        <v>512</v>
      </c>
      <c r="E14" s="61">
        <f>IF(R14=0,0,IF(R14="s",S14*1,S14*60))</f>
        <v>2</v>
      </c>
      <c r="F14" s="52">
        <f t="shared" si="13"/>
        <v>3.5555555555555556E-2</v>
      </c>
      <c r="G14" s="54">
        <f t="shared" si="14"/>
        <v>5.5555555555555556E-4</v>
      </c>
      <c r="H14" s="52">
        <f>IF(ISBLANK(A14),"",(IF(F14&lt;=1,0.4+(2.2/(A14*60))*Sensors!D14,IF(AND(Sensors!F14&gt;1,Sensors!C14=2),4.64+6.5/(A14*60),IF(AND(Sensors!F14&gt;1,Sensors!C14=4),9.2+5/(A14*60))))))</f>
        <v>0.71288888888888891</v>
      </c>
      <c r="I14" s="52">
        <f>IF(F14&lt;=1,0.4+(2.5/A14)*D14,IF(AND(F14&gt;1,C14=2),5.5+28/A14,IF(AND(F14&gt;1,C14=4),10+28/A14)))</f>
        <v>21.733333333333331</v>
      </c>
      <c r="J14" s="52">
        <f>IF(F14&lt;=1,1.1+(2.4/A14)*D14,IF(AND(F14&gt;1,C14=2),5.5+28/A14,IF(AND(F14&gt;1,C14=4),10+28/A14)))</f>
        <v>21.580000000000002</v>
      </c>
      <c r="K14" s="52">
        <f>IF(ISBLANK(A14),"",(IF(G14&lt;=1,0.4+(2.2*C14*G14),IF(AND(G14&gt;1,C14=2),4.65+1.5/(A14*60),IF(AND(Sensors!G14&gt;1,Sensors!C14=4),9.2+1.5/(A14*60))))))</f>
        <v>0.40488888888888891</v>
      </c>
      <c r="L14" s="52">
        <f>IF(G14&lt;=1,0.4+2.5*C14*G14,IF(AND(G14&gt;1,C14=2),5.5+13/A14,IF(AND(Sensors!G14&gt;1,Sensors!C14=4),10+13/A14)))</f>
        <v>0.40555555555555556</v>
      </c>
      <c r="M14" s="52">
        <f>IF(G14&lt;=1,1.1+2.4*C14*G14,IF(AND(G14&gt;1,C14=2),5.5+13/A14,IF(AND(Sensors!G14&gt;1,Sensors!C14=4),10+13/A14)))</f>
        <v>1.1053333333333335</v>
      </c>
      <c r="N14" s="52">
        <f>IF(ISBLANK(A14),"",(0.4+5.4/(A14*60)))</f>
        <v>0.40150000000000002</v>
      </c>
      <c r="O14" s="52">
        <f>0.4+24/A14</f>
        <v>0.8</v>
      </c>
      <c r="P14" s="58">
        <f>1.1+22/A14</f>
        <v>1.4666666666666668</v>
      </c>
      <c r="Q14" s="149">
        <f t="shared" si="15"/>
        <v>0.71288888888888891</v>
      </c>
      <c r="R14" s="61" t="str">
        <f>IF('Power Calculator'!AE15="No Tide!",0,RIGHT('Power Calculator'!AE15,1))</f>
        <v>s</v>
      </c>
      <c r="S14" s="61" t="str">
        <f>IF('Power Calculator'!AE15="No Tide!",0,LEFT('Power Calculator'!AE15,1))</f>
        <v>2</v>
      </c>
    </row>
    <row r="15" spans="1:37" ht="15.75" thickBot="1">
      <c r="A15" s="125">
        <f>IF(ISNUMBER('Power Calculator'!W16),'Power Calculator'!W16,10000000)</f>
        <v>30</v>
      </c>
      <c r="B15" s="122" t="s">
        <v>185</v>
      </c>
      <c r="C15" s="46">
        <f>VLOOKUP('Power Calculator'!AD16,Lists!J4:K5,2)</f>
        <v>4</v>
      </c>
      <c r="D15" s="44">
        <f>VLOOKUP('Power Calculator'!AF16,Lists!N4:O8,2)</f>
        <v>512</v>
      </c>
      <c r="E15" s="61">
        <f>IF(R15=0,0,IF(R15="s",S15*1,S15*60))</f>
        <v>2</v>
      </c>
      <c r="F15" s="52">
        <f t="shared" si="13"/>
        <v>7.1111111111111111E-2</v>
      </c>
      <c r="G15" s="54">
        <f t="shared" si="14"/>
        <v>1.1111111111111111E-3</v>
      </c>
      <c r="H15" s="52">
        <f>IF(ISBLANK(A15),"",(IF(F15&lt;=1,0.4+(2.2/(A15*60))*Sensors!D15,IF(AND(Sensors!F15&gt;1,Sensors!C15=2),4.64+6.5/(A15*60),IF(AND(Sensors!F15&gt;1,Sensors!C15=4),9.2+5/(A15*60))))))</f>
        <v>1.0257777777777779</v>
      </c>
      <c r="I15" s="52">
        <f>IF(F15&lt;=1,0.4+(2.5/A15)*D15,IF(AND(F15&gt;1,C15=2),5.5+28/A15,IF(AND(F15&gt;1,C15=4),10+28/A15)))</f>
        <v>43.066666666666663</v>
      </c>
      <c r="J15" s="52">
        <f>IF(F15&lt;=1,1.1+(2.4/A15)*D15,IF(AND(F15&gt;1,C15=2),5.5+28/A15,IF(AND(F15&gt;1,C15=4),10+28/A15)))</f>
        <v>42.06</v>
      </c>
      <c r="K15" s="52">
        <f>IF(ISBLANK(A15),"",(IF(G15&lt;=1,0.4+(2.2*C15*G15),IF(AND(G15&gt;1,C15=2),4.65+1.5/(A15*60),IF(AND(Sensors!G15&gt;1,Sensors!C15=4),9.2+1.5/(A15*60))))))</f>
        <v>0.4097777777777778</v>
      </c>
      <c r="L15" s="52">
        <f>IF(G15&lt;=1,0.4+2.5*C15*G15,IF(AND(G15&gt;1,C15=2),5.5+13/A15,IF(AND(Sensors!G15&gt;1,Sensors!C15=4),10+13/A15)))</f>
        <v>0.41111111111111115</v>
      </c>
      <c r="M15" s="52">
        <f>IF(G15&lt;=1,1.1+2.4*C15*G15,IF(AND(G15&gt;1,C15=2),5.5+13/A15,IF(AND(Sensors!G15&gt;1,Sensors!C15=4),10+13/A15)))</f>
        <v>1.1106666666666667</v>
      </c>
      <c r="N15" s="52">
        <f>IF(ISBLANK(A15),"",(0.4+5.4/(A15*60)))</f>
        <v>0.40300000000000002</v>
      </c>
      <c r="O15" s="52">
        <f>0.4+24/A15</f>
        <v>1.2000000000000002</v>
      </c>
      <c r="P15" s="58">
        <f>1.1+22/A15</f>
        <v>1.8333333333333335</v>
      </c>
      <c r="Q15" s="149">
        <f t="shared" si="15"/>
        <v>1.0257777777777779</v>
      </c>
      <c r="R15" s="61" t="str">
        <f>IF('Power Calculator'!AE16="No Tide!",0,RIGHT('Power Calculator'!AE16,1))</f>
        <v>s</v>
      </c>
      <c r="S15" s="61" t="str">
        <f>IF('Power Calculator'!AE16="No Tide!",0,LEFT('Power Calculator'!AE16,1))</f>
        <v>2</v>
      </c>
    </row>
    <row r="16" spans="1:37" ht="15.75" thickBot="1">
      <c r="A16" s="125">
        <f>IF(ISNUMBER('Power Calculator'!W17),'Power Calculator'!W17,10000000)</f>
        <v>10000000</v>
      </c>
      <c r="B16" s="123" t="s">
        <v>186</v>
      </c>
      <c r="C16" s="47">
        <f>VLOOKUP('Power Calculator'!AD17,Lists!J4:K5,2)</f>
        <v>2</v>
      </c>
      <c r="D16" s="45">
        <f>VLOOKUP('Power Calculator'!AF17,Lists!N4:O8,2)</f>
        <v>0</v>
      </c>
      <c r="E16" s="61">
        <f>IF(R16=0,0,IF(R16="s",S16*1,S16*60))</f>
        <v>4</v>
      </c>
      <c r="F16" s="52">
        <f t="shared" si="13"/>
        <v>0</v>
      </c>
      <c r="G16" s="54">
        <f t="shared" si="14"/>
        <v>6.6666666666666668E-9</v>
      </c>
      <c r="H16" s="52">
        <f>IF(ISBLANK(A16),"",(IF(F16&lt;=1,0.4+(2.2/(A16*60))*Sensors!D16,IF(AND(Sensors!F16&gt;1,Sensors!C16=2),4.64+6.5/(A16*60),IF(AND(Sensors!F16&gt;1,Sensors!C16=4),9.2+5/(A16*60))))))</f>
        <v>0.4</v>
      </c>
      <c r="I16" s="52">
        <f>IF(F16&lt;=1,0.4+(2.5/A16)*D16,IF(AND(F16&gt;1,C16=2),5.5+28/A16,IF(AND(F16&gt;1,C16=4),10+28/A16)))</f>
        <v>0.4</v>
      </c>
      <c r="J16" s="52">
        <f>IF(F16&lt;=1,1.1+(2.4/A16)*D16,IF(AND(F16&gt;1,C16=2),5.5+28/A16,IF(AND(F16&gt;1,C16=4),10+28/A16)))</f>
        <v>1.1000000000000001</v>
      </c>
      <c r="K16" s="52">
        <f>IF(ISBLANK(A16),"",(IF(G16&lt;=1,0.4+(2.2*C16*G16),IF(AND(G16&gt;1,C16=2),4.65+1.5/(A16*60),IF(AND(Sensors!G16&gt;1,Sensors!C16=4),9.2+1.5/(A16*60))))))</f>
        <v>0.40000002933333334</v>
      </c>
      <c r="L16" s="52">
        <f>IF(G16&lt;=1,0.4+2.5*C16*G16,IF(AND(G16&gt;1,C16=2),5.5+13/A16,IF(AND(Sensors!G16&gt;1,Sensors!C16=4),10+13/A16)))</f>
        <v>0.40000003333333334</v>
      </c>
      <c r="M16" s="52">
        <f>IF(G16&lt;=1,1.1+2.4*C16*G16,IF(AND(G16&gt;1,C16=2),5.5+13/A16,IF(AND(Sensors!G16&gt;1,Sensors!C16=4),10+13/A16)))</f>
        <v>1.1000000320000001</v>
      </c>
      <c r="N16" s="52">
        <f>IF(ISBLANK(A16),"",(0.4+5.4/(A16*60)))</f>
        <v>0.40000000900000005</v>
      </c>
      <c r="O16" s="52">
        <f>0.4+24/A16</f>
        <v>0.40000240000000004</v>
      </c>
      <c r="P16" s="58">
        <f>1.1+22/A16</f>
        <v>1.1000022</v>
      </c>
      <c r="Q16" s="149">
        <f t="shared" si="15"/>
        <v>0.40000002933333334</v>
      </c>
      <c r="R16" s="61" t="str">
        <f>IF('Power Calculator'!AE17="No Tide!",0,RIGHT('Power Calculator'!AE17,1))</f>
        <v>s</v>
      </c>
      <c r="S16" s="61" t="str">
        <f>IF('Power Calculator'!AE17="No Tide!",0,LEFT('Power Calculator'!AE17,1))</f>
        <v>4</v>
      </c>
    </row>
    <row r="17" spans="1:27">
      <c r="R17" t="str">
        <f>IF('Power Calculator'!Z18="No Tide!",0,RIGHT('Power Calculator'!Z18,1))</f>
        <v/>
      </c>
      <c r="S17" t="str">
        <f>IF('Power Calculator'!Z18="No Tide!",0,LEFT('Power Calculator'!Z18,1))</f>
        <v/>
      </c>
    </row>
    <row r="18" spans="1:27">
      <c r="R18" t="str">
        <f>IF('Power Calculator'!Z19="No Tide!",0,RIGHT('Power Calculator'!Z19,1))</f>
        <v/>
      </c>
      <c r="S18" t="str">
        <f>IF('Power Calculator'!Z19="No Tide!",0,LEFT('Power Calculator'!Z19,1))</f>
        <v/>
      </c>
    </row>
    <row r="19" spans="1:27" ht="23.25">
      <c r="A19" s="135" t="s">
        <v>197</v>
      </c>
      <c r="D19" t="b">
        <f>ISBLANK(A14)</f>
        <v>0</v>
      </c>
      <c r="H19" s="53"/>
      <c r="R19" t="str">
        <f>IF('Power Calculator'!Z20="No Tide!",0,RIGHT('Power Calculator'!Z20,1))</f>
        <v/>
      </c>
      <c r="S19" t="str">
        <f>IF('Power Calculator'!Z20="No Tide!",0,LEFT('Power Calculator'!Z20,1))</f>
        <v/>
      </c>
    </row>
    <row r="20" spans="1:27" ht="15.75" thickBot="1">
      <c r="H20" s="53"/>
      <c r="R20" t="str">
        <f>IF('Power Calculator'!Z21="No Tide!",0,RIGHT('Power Calculator'!Z21,1))</f>
        <v/>
      </c>
      <c r="S20" t="str">
        <f>IF('Power Calculator'!Z21="No Tide!",0,LEFT('Power Calculator'!Z21,1))</f>
        <v/>
      </c>
    </row>
    <row r="21" spans="1:27" ht="24" thickBot="1">
      <c r="A21" s="135"/>
      <c r="G21" s="145" t="s">
        <v>171</v>
      </c>
      <c r="H21" s="146"/>
      <c r="I21" s="146"/>
      <c r="J21" s="146"/>
      <c r="K21" s="142"/>
      <c r="V21" s="179" t="s">
        <v>172</v>
      </c>
      <c r="W21" s="180"/>
      <c r="X21" s="180"/>
      <c r="Y21" s="180"/>
      <c r="Z21" s="180"/>
      <c r="AA21" s="181"/>
    </row>
    <row r="22" spans="1:27">
      <c r="G22" s="144" t="s">
        <v>23</v>
      </c>
      <c r="H22" s="141" t="s">
        <v>24</v>
      </c>
      <c r="I22" s="141" t="s">
        <v>25</v>
      </c>
      <c r="J22" s="147" t="s">
        <v>26</v>
      </c>
      <c r="K22" s="141" t="s">
        <v>27</v>
      </c>
      <c r="V22" s="173" t="s">
        <v>173</v>
      </c>
      <c r="W22" s="55" t="s">
        <v>174</v>
      </c>
      <c r="X22" t="s">
        <v>175</v>
      </c>
      <c r="Y22" s="55" t="s">
        <v>176</v>
      </c>
      <c r="Z22" s="182" t="s">
        <v>177</v>
      </c>
      <c r="AA22" s="174" t="s">
        <v>178</v>
      </c>
    </row>
    <row r="23" spans="1:27">
      <c r="F23" s="143" t="s">
        <v>179</v>
      </c>
      <c r="G23" s="150">
        <f>IF(ISNA(A31),0,0.25+14/(A31*60))</f>
        <v>0.32777777777777778</v>
      </c>
      <c r="H23" s="151">
        <f>IF(ISNA(A31),0,(0.25+14/(A31*60)))</f>
        <v>0.32777777777777778</v>
      </c>
      <c r="I23" s="151">
        <f>IF(ISNA(A31),0,(0.16+48/(A31*60)))</f>
        <v>0.42666666666666664</v>
      </c>
      <c r="J23" s="152">
        <f>IF(ISNA(A31),0,(0.16+48/(A31*60)))</f>
        <v>0.42666666666666664</v>
      </c>
      <c r="K23" s="148">
        <f>IF(ISNA(A31),0,(0.22+40/(A31*60)))</f>
        <v>0.44222222222222218</v>
      </c>
      <c r="V23" s="173">
        <f>A31*60</f>
        <v>180</v>
      </c>
      <c r="W23" s="55">
        <f>'Power Calculator'!AT13</f>
        <v>150</v>
      </c>
      <c r="X23" s="55">
        <f>W23/V23</f>
        <v>0.83333333333333337</v>
      </c>
      <c r="Y23" s="55">
        <v>0.2</v>
      </c>
      <c r="Z23" s="182">
        <v>12.54</v>
      </c>
      <c r="AA23" s="184">
        <f>Y23+Z23*X23</f>
        <v>10.649999999999999</v>
      </c>
    </row>
    <row r="24" spans="1:27">
      <c r="F24" s="143" t="s">
        <v>180</v>
      </c>
      <c r="G24" s="150">
        <f t="shared" ref="G24:G27" si="16">IF(ISNA(A32),0,0.25+14/(A32*60))</f>
        <v>0.25000002333333332</v>
      </c>
      <c r="H24" s="151">
        <f t="shared" ref="H24:H27" si="17">IF(ISNA(A32),0,(0.25+14/(A32*60)))</f>
        <v>0.25000002333333332</v>
      </c>
      <c r="I24" s="151">
        <f t="shared" ref="I24:I27" si="18">IF(ISNA(A32),0,(0.16+48/(A32*60)))</f>
        <v>0.16000008000000002</v>
      </c>
      <c r="J24" s="152">
        <f t="shared" ref="J24:J27" si="19">IF(ISNA(A32),0,(0.16+48/(A32*60)))</f>
        <v>0.16000008000000002</v>
      </c>
      <c r="K24" s="148">
        <f t="shared" ref="K24:K27" si="20">IF(ISNA(A32),0,(0.22+40/(A32*60)))</f>
        <v>0.22000006666666666</v>
      </c>
      <c r="V24" s="173">
        <f t="shared" ref="V24:V27" si="21">A32*60</f>
        <v>600000000</v>
      </c>
      <c r="W24" s="55">
        <f>'Power Calculator'!AT14</f>
        <v>150</v>
      </c>
      <c r="X24" s="55">
        <f t="shared" ref="X24:X27" si="22">W24/V24</f>
        <v>2.4999999999999999E-7</v>
      </c>
      <c r="Y24" s="55">
        <v>0.2</v>
      </c>
      <c r="Z24" s="182">
        <v>12.54</v>
      </c>
      <c r="AA24" s="184">
        <f t="shared" ref="AA24:AA27" si="23">Y24+Z24*X24</f>
        <v>0.200003135</v>
      </c>
    </row>
    <row r="25" spans="1:27">
      <c r="F25" s="143" t="s">
        <v>182</v>
      </c>
      <c r="G25" s="150">
        <f t="shared" si="16"/>
        <v>0.25000002333333332</v>
      </c>
      <c r="H25" s="151">
        <f t="shared" si="17"/>
        <v>0.25000002333333332</v>
      </c>
      <c r="I25" s="151">
        <f t="shared" si="18"/>
        <v>0.16000008000000002</v>
      </c>
      <c r="J25" s="152">
        <f t="shared" si="19"/>
        <v>0.16000008000000002</v>
      </c>
      <c r="K25" s="148">
        <f t="shared" si="20"/>
        <v>0.22000006666666666</v>
      </c>
      <c r="V25" s="173">
        <f t="shared" si="21"/>
        <v>600000000</v>
      </c>
      <c r="W25" s="55">
        <f>'Power Calculator'!AT15</f>
        <v>150</v>
      </c>
      <c r="X25" s="55">
        <f t="shared" si="22"/>
        <v>2.4999999999999999E-7</v>
      </c>
      <c r="Y25" s="55">
        <v>0.2</v>
      </c>
      <c r="Z25" s="182">
        <v>12.54</v>
      </c>
      <c r="AA25" s="184">
        <f t="shared" si="23"/>
        <v>0.200003135</v>
      </c>
    </row>
    <row r="26" spans="1:27">
      <c r="F26" s="143" t="s">
        <v>185</v>
      </c>
      <c r="G26" s="150">
        <f t="shared" si="16"/>
        <v>0.25000002333333332</v>
      </c>
      <c r="H26" s="151">
        <f t="shared" si="17"/>
        <v>0.25000002333333332</v>
      </c>
      <c r="I26" s="151">
        <f t="shared" si="18"/>
        <v>0.16000008000000002</v>
      </c>
      <c r="J26" s="152">
        <f t="shared" si="19"/>
        <v>0.16000008000000002</v>
      </c>
      <c r="K26" s="148">
        <f t="shared" si="20"/>
        <v>0.22000006666666666</v>
      </c>
      <c r="V26" s="173">
        <f t="shared" si="21"/>
        <v>600000000</v>
      </c>
      <c r="W26" s="55">
        <f>'Power Calculator'!AT16</f>
        <v>150</v>
      </c>
      <c r="X26" s="55">
        <f t="shared" si="22"/>
        <v>2.4999999999999999E-7</v>
      </c>
      <c r="Y26" s="55">
        <v>0.2</v>
      </c>
      <c r="Z26" s="182">
        <v>12.54</v>
      </c>
      <c r="AA26" s="184">
        <f t="shared" si="23"/>
        <v>0.200003135</v>
      </c>
    </row>
    <row r="27" spans="1:27" ht="15.75" thickBot="1">
      <c r="F27" s="143" t="s">
        <v>186</v>
      </c>
      <c r="G27" s="150">
        <f t="shared" si="16"/>
        <v>0.25000002333333332</v>
      </c>
      <c r="H27" s="151">
        <f t="shared" si="17"/>
        <v>0.25000002333333332</v>
      </c>
      <c r="I27" s="151">
        <f t="shared" si="18"/>
        <v>0.16000008000000002</v>
      </c>
      <c r="J27" s="152">
        <f t="shared" si="19"/>
        <v>0.16000008000000002</v>
      </c>
      <c r="K27" s="148">
        <f t="shared" si="20"/>
        <v>0.22000006666666666</v>
      </c>
      <c r="V27" s="175">
        <f t="shared" si="21"/>
        <v>600000000</v>
      </c>
      <c r="W27" s="176">
        <f>'Power Calculator'!AT17</f>
        <v>150</v>
      </c>
      <c r="X27" s="176">
        <f t="shared" si="22"/>
        <v>2.4999999999999999E-7</v>
      </c>
      <c r="Y27" s="176">
        <v>0.2</v>
      </c>
      <c r="Z27" s="183">
        <v>12.54</v>
      </c>
      <c r="AA27" s="185">
        <f t="shared" si="23"/>
        <v>0.200003135</v>
      </c>
    </row>
    <row r="28" spans="1:27" ht="15.75" thickBot="1"/>
    <row r="29" spans="1:27" ht="15.75" thickBot="1">
      <c r="A29">
        <f>30*60</f>
        <v>1800</v>
      </c>
      <c r="H29" s="237" t="s">
        <v>187</v>
      </c>
      <c r="I29" s="238"/>
      <c r="J29" s="239"/>
      <c r="K29" s="237" t="s">
        <v>188</v>
      </c>
      <c r="L29" s="238"/>
      <c r="M29" s="239"/>
      <c r="N29" s="237" t="s">
        <v>189</v>
      </c>
      <c r="O29" s="238"/>
      <c r="P29" s="240"/>
      <c r="Q29" s="136" t="s">
        <v>190</v>
      </c>
    </row>
    <row r="30" spans="1:27" ht="45.75" thickBot="1">
      <c r="A30" s="124" t="s">
        <v>143</v>
      </c>
      <c r="C30" s="48" t="s">
        <v>49</v>
      </c>
      <c r="D30" s="49" t="s">
        <v>191</v>
      </c>
      <c r="E30" s="49" t="s">
        <v>50</v>
      </c>
      <c r="F30" s="49" t="s">
        <v>192</v>
      </c>
      <c r="G30" s="49" t="s">
        <v>193</v>
      </c>
      <c r="H30" s="49" t="s">
        <v>194</v>
      </c>
      <c r="I30" s="49" t="s">
        <v>195</v>
      </c>
      <c r="J30" s="49" t="s">
        <v>196</v>
      </c>
      <c r="K30" s="49" t="s">
        <v>194</v>
      </c>
      <c r="L30" s="49" t="s">
        <v>195</v>
      </c>
      <c r="M30" s="49" t="s">
        <v>196</v>
      </c>
      <c r="N30" s="49" t="s">
        <v>194</v>
      </c>
      <c r="O30" s="49" t="s">
        <v>195</v>
      </c>
      <c r="P30" s="57" t="s">
        <v>196</v>
      </c>
      <c r="Q30" s="59" t="s">
        <v>194</v>
      </c>
      <c r="R30" s="61"/>
      <c r="S30" s="61"/>
    </row>
    <row r="31" spans="1:27" ht="15.75" thickBot="1">
      <c r="A31" s="125">
        <f>IF(ISNUMBER('Power Calculator'!AI13),'Power Calculator'!AI13,10000000)</f>
        <v>3</v>
      </c>
      <c r="B31" s="121" t="s">
        <v>179</v>
      </c>
      <c r="C31" s="50">
        <f>VLOOKUP('Power Calculator'!AP13,Lists!$J$4:$K$5,2)</f>
        <v>4</v>
      </c>
      <c r="D31" s="51">
        <f>VLOOKUP('Power Calculator'!AR13,Lists!$N$4:$O$8,2)</f>
        <v>2048</v>
      </c>
      <c r="E31" s="61">
        <f>IF(R31=0,0,IF(R31="s",S31*1,S31*60))</f>
        <v>2</v>
      </c>
      <c r="F31" s="52">
        <f>IF(A31=0,"",(D31/(C31*A31*60)))</f>
        <v>2.8444444444444446</v>
      </c>
      <c r="G31" s="54">
        <f>IF(A31=0,"",E31/(A31*60))</f>
        <v>1.1111111111111112E-2</v>
      </c>
      <c r="H31" s="52">
        <f>IF(ISBLANK(A31),"",(IF(F31&lt;=1,0.4+(2.2/(A31*60))*Sensors!D31,IF(AND(Sensors!F31&gt;1,Sensors!C31=2),4.64+6.5/(A31*60),IF(AND(Sensors!F31&gt;1,Sensors!C31=4),9.2+5/(A31*60))))))</f>
        <v>9.2277777777777779</v>
      </c>
      <c r="I31" s="52">
        <f>IF(F31&lt;=1,0.4+(2.5/A31)*D31,IF(AND(F31&gt;1,C31=2),5.5+28/A31,IF(AND(F31&gt;1,C31=4),10+28/A31)))</f>
        <v>19.333333333333336</v>
      </c>
      <c r="J31" s="52">
        <f>IF(F31&lt;=1,1.1+(2.4/A31)*D31,IF(AND(F31&gt;1,C31=2),5.5+28/A31,IF(AND(F31&gt;1,C31=4),10+28/A31)))</f>
        <v>19.333333333333336</v>
      </c>
      <c r="K31" s="52">
        <f>IF(ISBLANK(A31),"",(IF(G31&lt;=1,0.4+(2.2*C31*G31),IF(AND(G31&gt;1,C31=2),4.65+1.5/(A31*60),IF(AND(Sensors!G31&gt;1,Sensors!C31=4),9.2+1.5/(A31*60))))))</f>
        <v>0.49777777777777782</v>
      </c>
      <c r="L31" s="52">
        <f>IF(G31&lt;=1,0.4+2.5*C31*G31,IF(AND(G31&gt;1,C31=2),5.5+13/A31,IF(AND(Sensors!G31&gt;1,Sensors!C31=4),10+13/A31)))</f>
        <v>0.51111111111111118</v>
      </c>
      <c r="M31" s="52">
        <f>IF(G31&lt;=1,1.1+2.4*C31*G31,IF(AND(G31&gt;1,C31=2),5.5+13/A31,IF(AND(Sensors!G31&gt;1,Sensors!C31=4),10+13/A31)))</f>
        <v>1.2066666666666668</v>
      </c>
      <c r="N31" s="52">
        <f>IF(ISBLANK(A31),"",(0.4+5.4/(A31*60)))</f>
        <v>0.43000000000000005</v>
      </c>
      <c r="O31" s="52">
        <f>0.4+24/A31</f>
        <v>8.4</v>
      </c>
      <c r="P31" s="58">
        <f>1.1+22/A31</f>
        <v>8.4333333333333336</v>
      </c>
      <c r="Q31" s="55">
        <f>IF(ISNA(A31),0,IF(AND(D31=0,E31=0),N31,IF(OR(K31&gt;H31,D31=0),K31,H31)))</f>
        <v>9.2277777777777779</v>
      </c>
      <c r="R31" s="61" t="str">
        <f>IF('Power Calculator'!AQ13="No Tide!",0,RIGHT('Power Calculator'!AQ13,1))</f>
        <v>s</v>
      </c>
      <c r="S31" s="61" t="str">
        <f>IF('Power Calculator'!AQ13="No Tide!",0,LEFT('Power Calculator'!AQ13,1))</f>
        <v>2</v>
      </c>
    </row>
    <row r="32" spans="1:27" ht="15.75" thickBot="1">
      <c r="A32" s="125">
        <f>IF(ISNUMBER('Power Calculator'!AI14),'Power Calculator'!AI14,10000000)</f>
        <v>10000000</v>
      </c>
      <c r="B32" s="122" t="s">
        <v>180</v>
      </c>
      <c r="C32" s="50">
        <f>VLOOKUP('Power Calculator'!AP14,Lists!$J$4:$K$5,2)</f>
        <v>4</v>
      </c>
      <c r="D32" s="51">
        <f>VLOOKUP('Power Calculator'!AR14,Lists!$N$4:$O$8,2)</f>
        <v>2048</v>
      </c>
      <c r="E32" s="61">
        <f>IF(R32=0,0,IF(R32="s",S32*1,S32*60))</f>
        <v>2</v>
      </c>
      <c r="F32" s="52">
        <f t="shared" ref="F32:F35" si="24">IF(A32=0,"",(D32/(C32*A32*60)))</f>
        <v>8.5333333333333335E-7</v>
      </c>
      <c r="G32" s="54">
        <f t="shared" ref="G32:G35" si="25">IF(A32=0,"",E32/(A32*60))</f>
        <v>3.3333333333333334E-9</v>
      </c>
      <c r="H32" s="52">
        <f>IF(ISBLANK(A32),"",(IF(F32&lt;=1,0.4+(2.2/(A32*60))*Sensors!D32,IF(AND(Sensors!F32&gt;1,Sensors!C32=2),4.64+6.5/(A32*60),IF(AND(Sensors!F32&gt;1,Sensors!C32=4),9.2+5/(A32*60))))))</f>
        <v>0.40000750933333334</v>
      </c>
      <c r="I32" s="52">
        <f>IF(F32&lt;=1,0.4+(2.5/A32)*D32,IF(AND(F32&gt;1,C32=2),5.5+28/A32,IF(AND(F32&gt;1,C32=4),10+28/A32)))</f>
        <v>0.40051200000000003</v>
      </c>
      <c r="J32" s="52">
        <f>IF(F32&lt;=1,1.1+(2.4/A32)*D32,IF(AND(F32&gt;1,C32=2),5.5+28/A32,IF(AND(F32&gt;1,C32=4),10+28/A32)))</f>
        <v>1.1004915200000001</v>
      </c>
      <c r="K32" s="52">
        <f>IF(ISBLANK(A32),"",(IF(G32&lt;=1,0.4+(2.2*C32*G32),IF(AND(G32&gt;1,C32=2),4.65+1.5/(A32*60),IF(AND(Sensors!G32&gt;1,Sensors!C32=4),9.2+1.5/(A32*60))))))</f>
        <v>0.40000002933333334</v>
      </c>
      <c r="L32" s="52">
        <f>IF(G32&lt;=1,0.4+2.5*C32*G32,IF(AND(G32&gt;1,C32=2),5.5+13/A32,IF(AND(Sensors!G32&gt;1,Sensors!C32=4),10+13/A32)))</f>
        <v>0.40000003333333334</v>
      </c>
      <c r="M32" s="52">
        <f>IF(G32&lt;=1,1.1+2.4*C32*G32,IF(AND(G32&gt;1,C32=2),5.5+13/A32,IF(AND(Sensors!G32&gt;1,Sensors!C32=4),10+13/A32)))</f>
        <v>1.1000000320000001</v>
      </c>
      <c r="N32" s="52">
        <f>IF(ISBLANK(A32),"",(0.4+5.4/(A32*60)))</f>
        <v>0.40000000900000005</v>
      </c>
      <c r="O32" s="52">
        <f>0.4+24/A32</f>
        <v>0.40000240000000004</v>
      </c>
      <c r="P32" s="58">
        <f>1.1+22/A32</f>
        <v>1.1000022</v>
      </c>
      <c r="Q32" s="55">
        <f t="shared" ref="Q32:Q34" si="26">IF(ISNA(A32),0,IF(AND(D32=0,E32=0),N32,IF(OR(K32&gt;H32,D32=0),K32,H32)))</f>
        <v>0.40000750933333334</v>
      </c>
      <c r="R32" s="61" t="str">
        <f>IF('Power Calculator'!AQ14="No Tide!",0,RIGHT('Power Calculator'!AQ14,1))</f>
        <v>s</v>
      </c>
      <c r="S32" s="61" t="str">
        <f>IF('Power Calculator'!AQ14="No Tide!",0,LEFT('Power Calculator'!AQ14,1))</f>
        <v>2</v>
      </c>
    </row>
    <row r="33" spans="1:19" ht="15.75" thickBot="1">
      <c r="A33" s="125">
        <f>IF(ISNUMBER('Power Calculator'!AI15),'Power Calculator'!AI15,10000000)</f>
        <v>10000000</v>
      </c>
      <c r="B33" s="122" t="s">
        <v>182</v>
      </c>
      <c r="C33" s="50">
        <f>VLOOKUP('Power Calculator'!AP15,Lists!$J$4:$K$5,2)</f>
        <v>4</v>
      </c>
      <c r="D33" s="51">
        <f>VLOOKUP('Power Calculator'!AR15,Lists!$N$4:$O$8,2)</f>
        <v>512</v>
      </c>
      <c r="E33" s="61">
        <f>IF(R33=0,0,IF(R33="s",S33*1,S33*60))</f>
        <v>2</v>
      </c>
      <c r="F33" s="52">
        <f t="shared" si="24"/>
        <v>2.1333333333333334E-7</v>
      </c>
      <c r="G33" s="54">
        <f t="shared" si="25"/>
        <v>3.3333333333333334E-9</v>
      </c>
      <c r="H33" s="52">
        <f>IF(ISBLANK(A33),"",(IF(F33&lt;=1,0.4+(2.2/(A33*60))*Sensors!D33,IF(AND(Sensors!F33&gt;1,Sensors!C33=2),4.64+6.5/(A33*60),IF(AND(Sensors!F33&gt;1,Sensors!C33=4),9.2+5/(A33*60))))))</f>
        <v>0.40000187733333337</v>
      </c>
      <c r="I33" s="52">
        <f>IF(F33&lt;=1,0.4+(2.5/A33)*D33,IF(AND(F33&gt;1,C33=2),5.5+28/A33,IF(AND(F33&gt;1,C33=4),10+28/A33)))</f>
        <v>0.40012800000000004</v>
      </c>
      <c r="J33" s="52">
        <f>IF(F33&lt;=1,1.1+(2.4/A33)*D33,IF(AND(F33&gt;1,C33=2),5.5+28/A33,IF(AND(F33&gt;1,C33=4),10+28/A33)))</f>
        <v>1.10012288</v>
      </c>
      <c r="K33" s="52">
        <f>IF(ISBLANK(A33),"",(IF(G33&lt;=1,0.4+(2.2*C33*G33),IF(AND(G33&gt;1,C33=2),4.65+1.5/(A33*60),IF(AND(Sensors!G33&gt;1,Sensors!C33=4),9.2+1.5/(A33*60))))))</f>
        <v>0.40000002933333334</v>
      </c>
      <c r="L33" s="52">
        <f>IF(G33&lt;=1,0.4+2.5*C33*G33,IF(AND(G33&gt;1,C33=2),5.5+13/A33,IF(AND(Sensors!G33&gt;1,Sensors!C33=4),10+13/A33)))</f>
        <v>0.40000003333333334</v>
      </c>
      <c r="M33" s="52">
        <f>IF(G33&lt;=1,1.1+2.4*C33*G33,IF(AND(G33&gt;1,C33=2),5.5+13/A33,IF(AND(Sensors!G33&gt;1,Sensors!C33=4),10+13/A33)))</f>
        <v>1.1000000320000001</v>
      </c>
      <c r="N33" s="52">
        <f>IF(ISBLANK(A33),"",(0.4+5.4/(A33*60)))</f>
        <v>0.40000000900000005</v>
      </c>
      <c r="O33" s="52">
        <f>0.4+24/A33</f>
        <v>0.40000240000000004</v>
      </c>
      <c r="P33" s="58">
        <f>1.1+22/A33</f>
        <v>1.1000022</v>
      </c>
      <c r="Q33" s="55">
        <f t="shared" si="26"/>
        <v>0.40000187733333337</v>
      </c>
      <c r="R33" s="61" t="str">
        <f>IF('Power Calculator'!AQ15="No Tide!",0,RIGHT('Power Calculator'!AQ15,1))</f>
        <v>s</v>
      </c>
      <c r="S33" s="61" t="str">
        <f>IF('Power Calculator'!AQ15="No Tide!",0,LEFT('Power Calculator'!AQ15,1))</f>
        <v>2</v>
      </c>
    </row>
    <row r="34" spans="1:19" ht="15.75" thickBot="1">
      <c r="A34" s="125">
        <f>IF(ISNUMBER('Power Calculator'!AI16),'Power Calculator'!AI16,10000000)</f>
        <v>10000000</v>
      </c>
      <c r="B34" s="122" t="s">
        <v>185</v>
      </c>
      <c r="C34" s="50">
        <f>VLOOKUP('Power Calculator'!AP16,Lists!$J$4:$K$5,2)</f>
        <v>4</v>
      </c>
      <c r="D34" s="51">
        <f>VLOOKUP('Power Calculator'!AR16,Lists!$N$4:$O$8,2)</f>
        <v>2048</v>
      </c>
      <c r="E34" s="61">
        <f>IF(R34=0,0,IF(R34="s",S34*1,S34*60))</f>
        <v>2</v>
      </c>
      <c r="F34" s="52">
        <f t="shared" si="24"/>
        <v>8.5333333333333335E-7</v>
      </c>
      <c r="G34" s="54">
        <f t="shared" si="25"/>
        <v>3.3333333333333334E-9</v>
      </c>
      <c r="H34" s="52">
        <f>IF(ISBLANK(A34),"",(IF(F34&lt;=1,0.4+(2.2/(A34*60))*Sensors!D34,IF(AND(Sensors!F34&gt;1,Sensors!C34=2),4.64+6.5/(A34*60),IF(AND(Sensors!F34&gt;1,Sensors!C34=4),9.2+5/(A34*60))))))</f>
        <v>0.40000750933333334</v>
      </c>
      <c r="I34" s="52">
        <f>IF(F34&lt;=1,0.4+(2.5/A34)*D34,IF(AND(F34&gt;1,C34=2),5.5+28/A34,IF(AND(F34&gt;1,C34=4),10+28/A34)))</f>
        <v>0.40051200000000003</v>
      </c>
      <c r="J34" s="52">
        <f>IF(F34&lt;=1,1.1+(2.4/A34)*D34,IF(AND(F34&gt;1,C34=2),5.5+28/A34,IF(AND(F34&gt;1,C34=4),10+28/A34)))</f>
        <v>1.1004915200000001</v>
      </c>
      <c r="K34" s="52">
        <f>IF(ISBLANK(A34),"",(IF(G34&lt;=1,0.4+(2.2*C34*G34),IF(AND(G34&gt;1,C34=2),4.65+1.5/(A34*60),IF(AND(Sensors!G34&gt;1,Sensors!C34=4),9.2+1.5/(A34*60))))))</f>
        <v>0.40000002933333334</v>
      </c>
      <c r="L34" s="52">
        <f>IF(G34&lt;=1,0.4+2.5*C34*G34,IF(AND(G34&gt;1,C34=2),5.5+13/A34,IF(AND(Sensors!G34&gt;1,Sensors!C34=4),10+13/A34)))</f>
        <v>0.40000003333333334</v>
      </c>
      <c r="M34" s="52">
        <f>IF(G34&lt;=1,1.1+2.4*C34*G34,IF(AND(G34&gt;1,C34=2),5.5+13/A34,IF(AND(Sensors!G34&gt;1,Sensors!C34=4),10+13/A34)))</f>
        <v>1.1000000320000001</v>
      </c>
      <c r="N34" s="52">
        <f>IF(ISBLANK(A34),"",(0.4+5.4/(A34*60)))</f>
        <v>0.40000000900000005</v>
      </c>
      <c r="O34" s="52">
        <f>0.4+24/A34</f>
        <v>0.40000240000000004</v>
      </c>
      <c r="P34" s="58">
        <f>1.1+22/A34</f>
        <v>1.1000022</v>
      </c>
      <c r="Q34" s="55">
        <f t="shared" si="26"/>
        <v>0.40000750933333334</v>
      </c>
      <c r="R34" s="61" t="str">
        <f>IF('Power Calculator'!AQ16="No Tide!",0,RIGHT('Power Calculator'!AQ16,1))</f>
        <v>s</v>
      </c>
      <c r="S34" s="61" t="str">
        <f>IF('Power Calculator'!AQ16="No Tide!",0,LEFT('Power Calculator'!AQ16,1))</f>
        <v>2</v>
      </c>
    </row>
    <row r="35" spans="1:19" ht="15.75" thickBot="1">
      <c r="A35" s="125">
        <f>IF(ISNUMBER('Power Calculator'!AI17),'Power Calculator'!AI17,10000000)</f>
        <v>10000000</v>
      </c>
      <c r="B35" s="123" t="s">
        <v>186</v>
      </c>
      <c r="C35" s="50">
        <f>VLOOKUP('Power Calculator'!AP17,Lists!$J$4:$K$5,2)</f>
        <v>4</v>
      </c>
      <c r="D35" s="51">
        <f>VLOOKUP('Power Calculator'!AR17,Lists!$N$4:$O$8,2)</f>
        <v>0</v>
      </c>
      <c r="E35" s="61">
        <f>IF(R35=0,0,IF(R35="s",S35*1,S35*60))</f>
        <v>2</v>
      </c>
      <c r="F35" s="52">
        <f t="shared" si="24"/>
        <v>0</v>
      </c>
      <c r="G35" s="54">
        <f t="shared" si="25"/>
        <v>3.3333333333333334E-9</v>
      </c>
      <c r="H35" s="52">
        <f>IF(ISBLANK(A35),"",(IF(F35&lt;=1,0.4+(2.2/(A35*60))*Sensors!D35,IF(AND(Sensors!F35&gt;1,Sensors!C35=2),4.64+6.5/(A35*60),IF(AND(Sensors!F35&gt;1,Sensors!C35=4),9.2+5/(A35*60))))))</f>
        <v>0.4</v>
      </c>
      <c r="I35" s="52">
        <f>IF(F35&lt;=1,0.4+(2.5/A35)*D35,IF(AND(F35&gt;1,C35=2),5.5+28/A35,IF(AND(F35&gt;1,C35=4),10+28/A35)))</f>
        <v>0.4</v>
      </c>
      <c r="J35" s="52">
        <f>IF(F35&lt;=1,1.1+(2.4/A35)*D35,IF(AND(F35&gt;1,C35=2),5.5+28/A35,IF(AND(F35&gt;1,C35=4),10+28/A35)))</f>
        <v>1.1000000000000001</v>
      </c>
      <c r="K35" s="52">
        <f>IF(ISBLANK(A35),"",(IF(G35&lt;=1,0.4+(2.2*C35*G35),IF(AND(G35&gt;1,C35=2),4.65+1.5/(A35*60),IF(AND(Sensors!G35&gt;1,Sensors!C35=4),9.2+1.5/(A35*60))))))</f>
        <v>0.40000002933333334</v>
      </c>
      <c r="L35" s="52">
        <f>IF(G35&lt;=1,0.4+2.5*C35*G35,IF(AND(G35&gt;1,C35=2),5.5+13/A35,IF(AND(Sensors!G35&gt;1,Sensors!C35=4),10+13/A35)))</f>
        <v>0.40000003333333334</v>
      </c>
      <c r="M35" s="52">
        <f>IF(G35&lt;=1,1.1+2.4*C35*G35,IF(AND(G35&gt;1,C35=2),5.5+13/A35,IF(AND(Sensors!G35&gt;1,Sensors!C35=4),10+13/A35)))</f>
        <v>1.1000000320000001</v>
      </c>
      <c r="N35" s="52">
        <f>IF(ISBLANK(A35),"",(0.4+5.4/(A35*60)))</f>
        <v>0.40000000900000005</v>
      </c>
      <c r="O35" s="52">
        <f>0.4+24/A35</f>
        <v>0.40000240000000004</v>
      </c>
      <c r="P35" s="58">
        <f>1.1+22/A35</f>
        <v>1.1000022</v>
      </c>
      <c r="Q35" s="55">
        <f>IF(ISNA(A35),0,IF(AND(D35=0,E35=0),N35,IF(OR(K35&gt;H35,D35=0),K35,H35)))</f>
        <v>0.40000002933333334</v>
      </c>
      <c r="R35" s="61" t="str">
        <f>IF('Power Calculator'!AQ17="No Tide!",0,RIGHT('Power Calculator'!AQ17,1))</f>
        <v>s</v>
      </c>
      <c r="S35" s="61" t="str">
        <f>IF('Power Calculator'!AQ17="No Tide!",0,LEFT('Power Calculator'!AQ17,1))</f>
        <v>2</v>
      </c>
    </row>
  </sheetData>
  <mergeCells count="6">
    <mergeCell ref="H10:J10"/>
    <mergeCell ref="K10:M10"/>
    <mergeCell ref="N10:P10"/>
    <mergeCell ref="H29:J29"/>
    <mergeCell ref="K29:M29"/>
    <mergeCell ref="N29:P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Tholo, Harald - Xylem</dc:creator>
  <cp:keywords/>
  <dc:description/>
  <cp:lastModifiedBy>Hovdenes, Jostein - Xylem</cp:lastModifiedBy>
  <cp:revision/>
  <dcterms:created xsi:type="dcterms:W3CDTF">2014-12-03T09:22:40Z</dcterms:created>
  <dcterms:modified xsi:type="dcterms:W3CDTF">2023-12-20T19:05:28Z</dcterms:modified>
  <cp:category/>
  <cp:contentStatus/>
</cp:coreProperties>
</file>